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10" yWindow="-75" windowWidth="12120" windowHeight="9090"/>
  </bookViews>
  <sheets>
    <sheet name="Table 79 - Trend in Out of Stat" sheetId="1" r:id="rId1"/>
  </sheets>
  <definedNames>
    <definedName name="_xlnm.Print_Area" localSheetId="0">'Table 79 - Trend in Out of Stat'!$A$1:$AH$113</definedName>
  </definedNames>
  <calcPr calcId="125725"/>
</workbook>
</file>

<file path=xl/calcChain.xml><?xml version="1.0" encoding="utf-8"?>
<calcChain xmlns="http://schemas.openxmlformats.org/spreadsheetml/2006/main">
  <c r="N103" i="1"/>
  <c r="N102"/>
  <c r="N101"/>
  <c r="N100"/>
  <c r="N99"/>
  <c r="N98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4"/>
  <c r="N23"/>
  <c r="N22"/>
  <c r="N21"/>
  <c r="N20"/>
  <c r="N19"/>
  <c r="N18"/>
  <c r="N17"/>
  <c r="N16"/>
  <c r="N15"/>
  <c r="N14"/>
  <c r="N13"/>
  <c r="N12"/>
  <c r="N11"/>
  <c r="AG24" l="1"/>
  <c r="AF24"/>
  <c r="AG50"/>
  <c r="AG104"/>
  <c r="AG94"/>
  <c r="AG106" s="1"/>
  <c r="AH24"/>
  <c r="L12"/>
  <c r="AG52" l="1"/>
  <c r="AG108" s="1"/>
  <c r="AH104"/>
  <c r="N104" s="1"/>
  <c r="AH94"/>
  <c r="N94" s="1"/>
  <c r="AH50"/>
  <c r="N50" s="1"/>
  <c r="AH106" l="1"/>
  <c r="N106" s="1"/>
  <c r="AH52"/>
  <c r="N52" s="1"/>
  <c r="AH108" l="1"/>
  <c r="N108" s="1"/>
  <c r="L99" l="1"/>
  <c r="L100"/>
  <c r="L101"/>
  <c r="L102"/>
  <c r="L103"/>
  <c r="L98"/>
  <c r="AD104"/>
  <c r="L93"/>
  <c r="L92"/>
  <c r="L91"/>
  <c r="L81"/>
  <c r="L82"/>
  <c r="L83"/>
  <c r="L84"/>
  <c r="L85"/>
  <c r="L86"/>
  <c r="L87"/>
  <c r="L88"/>
  <c r="L89"/>
  <c r="L90"/>
  <c r="L80"/>
  <c r="L79"/>
  <c r="L78"/>
  <c r="L77"/>
  <c r="L76"/>
  <c r="L75"/>
  <c r="L74"/>
  <c r="L73"/>
  <c r="L72"/>
  <c r="L71"/>
  <c r="L70"/>
  <c r="L69"/>
  <c r="AD94"/>
  <c r="AD106" s="1"/>
  <c r="AC94"/>
  <c r="L94" s="1"/>
  <c r="L50"/>
  <c r="L49"/>
  <c r="L4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28"/>
  <c r="AD50"/>
  <c r="L13"/>
  <c r="L14"/>
  <c r="L15"/>
  <c r="L16"/>
  <c r="L17"/>
  <c r="L18"/>
  <c r="L19"/>
  <c r="L20"/>
  <c r="L21"/>
  <c r="L22"/>
  <c r="L23"/>
  <c r="L11"/>
  <c r="AD24"/>
  <c r="AD52" s="1"/>
  <c r="AE24"/>
  <c r="M99"/>
  <c r="M100"/>
  <c r="M101"/>
  <c r="M102"/>
  <c r="M103"/>
  <c r="M98"/>
  <c r="AF104"/>
  <c r="AE104"/>
  <c r="M104" s="1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69"/>
  <c r="AF94"/>
  <c r="AF106" s="1"/>
  <c r="AE94"/>
  <c r="M12"/>
  <c r="M13"/>
  <c r="M14"/>
  <c r="M15"/>
  <c r="M16"/>
  <c r="M17"/>
  <c r="M18"/>
  <c r="M19"/>
  <c r="M20"/>
  <c r="M21"/>
  <c r="M22"/>
  <c r="M23"/>
  <c r="M24"/>
  <c r="M11"/>
  <c r="AF52"/>
  <c r="AF50"/>
  <c r="AE50"/>
  <c r="M50" s="1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28"/>
  <c r="AB29"/>
  <c r="AB30"/>
  <c r="AB50" s="1"/>
  <c r="AB52" s="1"/>
  <c r="AB39"/>
  <c r="AB40"/>
  <c r="K40" s="1"/>
  <c r="AB42"/>
  <c r="AB43"/>
  <c r="K43" s="1"/>
  <c r="AB44"/>
  <c r="AB45"/>
  <c r="K45" s="1"/>
  <c r="AB46"/>
  <c r="AB48"/>
  <c r="AC50"/>
  <c r="AC24"/>
  <c r="L24" s="1"/>
  <c r="AC104"/>
  <c r="L104" s="1"/>
  <c r="AB12"/>
  <c r="AB14"/>
  <c r="AB17"/>
  <c r="AB18"/>
  <c r="AB19"/>
  <c r="AB21"/>
  <c r="AB22"/>
  <c r="AB24"/>
  <c r="AB71"/>
  <c r="AB74"/>
  <c r="AB80"/>
  <c r="AB82"/>
  <c r="AB84"/>
  <c r="AB86"/>
  <c r="AB87"/>
  <c r="AB89"/>
  <c r="AB90"/>
  <c r="AB94"/>
  <c r="AB104"/>
  <c r="AB106"/>
  <c r="AB108" s="1"/>
  <c r="AA30"/>
  <c r="AA42"/>
  <c r="K42" s="1"/>
  <c r="AA45"/>
  <c r="AA46"/>
  <c r="AA49"/>
  <c r="AA50"/>
  <c r="AA52" s="1"/>
  <c r="K52" s="1"/>
  <c r="AA11"/>
  <c r="K11" s="1"/>
  <c r="AA12"/>
  <c r="K12" s="1"/>
  <c r="AA13"/>
  <c r="AA14"/>
  <c r="AA15"/>
  <c r="AA16"/>
  <c r="K16" s="1"/>
  <c r="AA17"/>
  <c r="AA18"/>
  <c r="K18" s="1"/>
  <c r="AA19"/>
  <c r="AA20"/>
  <c r="AA21"/>
  <c r="AA22"/>
  <c r="K22" s="1"/>
  <c r="AA23"/>
  <c r="AA24"/>
  <c r="AA69"/>
  <c r="AA94" s="1"/>
  <c r="AA73"/>
  <c r="AA74"/>
  <c r="K74" s="1"/>
  <c r="AA75"/>
  <c r="AA76"/>
  <c r="K76" s="1"/>
  <c r="AA77"/>
  <c r="AA78"/>
  <c r="K78" s="1"/>
  <c r="AA79"/>
  <c r="AA80"/>
  <c r="K80" s="1"/>
  <c r="AA81"/>
  <c r="AA82"/>
  <c r="K82" s="1"/>
  <c r="AA83"/>
  <c r="AA84"/>
  <c r="K84" s="1"/>
  <c r="AA85"/>
  <c r="AA86"/>
  <c r="K86" s="1"/>
  <c r="AA87"/>
  <c r="AA88"/>
  <c r="K88" s="1"/>
  <c r="AA89"/>
  <c r="AA90"/>
  <c r="K90" s="1"/>
  <c r="AA91"/>
  <c r="AA93"/>
  <c r="K93" s="1"/>
  <c r="AA103"/>
  <c r="AA104" s="1"/>
  <c r="K104" s="1"/>
  <c r="K49"/>
  <c r="K46"/>
  <c r="K44"/>
  <c r="K48"/>
  <c r="K41"/>
  <c r="K39"/>
  <c r="K38"/>
  <c r="K36"/>
  <c r="K35"/>
  <c r="K34"/>
  <c r="K33"/>
  <c r="K32"/>
  <c r="K31"/>
  <c r="K29"/>
  <c r="K28"/>
  <c r="K24"/>
  <c r="K23"/>
  <c r="K15"/>
  <c r="K21"/>
  <c r="K19"/>
  <c r="K14"/>
  <c r="K17"/>
  <c r="K13"/>
  <c r="K20"/>
  <c r="K103"/>
  <c r="K98"/>
  <c r="K75"/>
  <c r="K73"/>
  <c r="K71"/>
  <c r="K91"/>
  <c r="K89"/>
  <c r="K87"/>
  <c r="K85"/>
  <c r="K83"/>
  <c r="K81"/>
  <c r="K79"/>
  <c r="K77"/>
  <c r="K92"/>
  <c r="Y15"/>
  <c r="Z15"/>
  <c r="Y81"/>
  <c r="Z40"/>
  <c r="Y14"/>
  <c r="Z14"/>
  <c r="Z17"/>
  <c r="Y17"/>
  <c r="Y98"/>
  <c r="J98" s="1"/>
  <c r="Y18"/>
  <c r="Z18"/>
  <c r="J18" s="1"/>
  <c r="Y13"/>
  <c r="Y12"/>
  <c r="J12" s="1"/>
  <c r="Y20"/>
  <c r="Y22"/>
  <c r="J22" s="1"/>
  <c r="Z22"/>
  <c r="Y21"/>
  <c r="Z21"/>
  <c r="Y11"/>
  <c r="Y23"/>
  <c r="Z24"/>
  <c r="Y19"/>
  <c r="Y24"/>
  <c r="Y89"/>
  <c r="Z89"/>
  <c r="J89" s="1"/>
  <c r="Y85"/>
  <c r="Y91"/>
  <c r="J91" s="1"/>
  <c r="Y69"/>
  <c r="Z69"/>
  <c r="J69" s="1"/>
  <c r="Y77"/>
  <c r="Y79"/>
  <c r="Y86"/>
  <c r="Z86"/>
  <c r="Y71"/>
  <c r="Z71"/>
  <c r="Y103"/>
  <c r="Y92"/>
  <c r="Z92"/>
  <c r="Y93"/>
  <c r="J93" s="1"/>
  <c r="Z90"/>
  <c r="Y73"/>
  <c r="Y94" s="1"/>
  <c r="Z73"/>
  <c r="Y82"/>
  <c r="J82" s="1"/>
  <c r="Z82"/>
  <c r="Y80"/>
  <c r="J80" s="1"/>
  <c r="Z80"/>
  <c r="Y78"/>
  <c r="J78" s="1"/>
  <c r="Y76"/>
  <c r="Y74"/>
  <c r="W76"/>
  <c r="Z74"/>
  <c r="Z104"/>
  <c r="Z94"/>
  <c r="Z106" s="1"/>
  <c r="Z30"/>
  <c r="Z50" s="1"/>
  <c r="Z39"/>
  <c r="Z48"/>
  <c r="Z43"/>
  <c r="Z44"/>
  <c r="J44" s="1"/>
  <c r="Z45"/>
  <c r="Z46"/>
  <c r="Y104"/>
  <c r="J104" s="1"/>
  <c r="Y75"/>
  <c r="Y84"/>
  <c r="Y28"/>
  <c r="Y30"/>
  <c r="J30" s="1"/>
  <c r="Y39"/>
  <c r="Y41"/>
  <c r="Y42"/>
  <c r="Y48"/>
  <c r="J48" s="1"/>
  <c r="Y45"/>
  <c r="Y46"/>
  <c r="J46" s="1"/>
  <c r="Y49"/>
  <c r="Y50"/>
  <c r="Y52" s="1"/>
  <c r="J103"/>
  <c r="J92"/>
  <c r="J90"/>
  <c r="J88"/>
  <c r="J87"/>
  <c r="J86"/>
  <c r="J85"/>
  <c r="J84"/>
  <c r="J81"/>
  <c r="J79"/>
  <c r="J77"/>
  <c r="J76"/>
  <c r="J74"/>
  <c r="J71"/>
  <c r="J75"/>
  <c r="J49"/>
  <c r="J40"/>
  <c r="J45"/>
  <c r="J43"/>
  <c r="J41"/>
  <c r="J39"/>
  <c r="J38"/>
  <c r="J36"/>
  <c r="J35"/>
  <c r="J34"/>
  <c r="J33"/>
  <c r="J32"/>
  <c r="J31"/>
  <c r="J29"/>
  <c r="J28"/>
  <c r="J24"/>
  <c r="J23"/>
  <c r="J15"/>
  <c r="J21"/>
  <c r="J19"/>
  <c r="J14"/>
  <c r="J17"/>
  <c r="J16"/>
  <c r="J13"/>
  <c r="J11"/>
  <c r="J20"/>
  <c r="J42"/>
  <c r="X46"/>
  <c r="W46"/>
  <c r="I46" s="1"/>
  <c r="X45"/>
  <c r="W45"/>
  <c r="X44"/>
  <c r="W44"/>
  <c r="I44" s="1"/>
  <c r="X39"/>
  <c r="X11"/>
  <c r="X24" s="1"/>
  <c r="X17"/>
  <c r="X18"/>
  <c r="X19"/>
  <c r="X21"/>
  <c r="I21" s="1"/>
  <c r="W20"/>
  <c r="W11"/>
  <c r="W12"/>
  <c r="W24" s="1"/>
  <c r="I24" s="1"/>
  <c r="W13"/>
  <c r="W16"/>
  <c r="W17"/>
  <c r="W18"/>
  <c r="W14"/>
  <c r="W19"/>
  <c r="W21"/>
  <c r="W22"/>
  <c r="W15"/>
  <c r="W23"/>
  <c r="X48"/>
  <c r="I48" s="1"/>
  <c r="W48"/>
  <c r="X31"/>
  <c r="I31" s="1"/>
  <c r="X29"/>
  <c r="X40"/>
  <c r="W28"/>
  <c r="X103"/>
  <c r="W103"/>
  <c r="X84"/>
  <c r="I84" s="1"/>
  <c r="W84"/>
  <c r="X73"/>
  <c r="I73" s="1"/>
  <c r="W73"/>
  <c r="X89"/>
  <c r="W89"/>
  <c r="X30"/>
  <c r="X50" s="1"/>
  <c r="X52" s="1"/>
  <c r="W30"/>
  <c r="W41"/>
  <c r="W50" s="1"/>
  <c r="W42"/>
  <c r="W49"/>
  <c r="I49" s="1"/>
  <c r="W81"/>
  <c r="W93"/>
  <c r="I93" s="1"/>
  <c r="X87"/>
  <c r="W87"/>
  <c r="W83"/>
  <c r="X71"/>
  <c r="W71"/>
  <c r="X76"/>
  <c r="X90"/>
  <c r="W74"/>
  <c r="X82"/>
  <c r="W82"/>
  <c r="W94" s="1"/>
  <c r="X86"/>
  <c r="W86"/>
  <c r="I86" s="1"/>
  <c r="W85"/>
  <c r="X80"/>
  <c r="I80" s="1"/>
  <c r="W80"/>
  <c r="X79"/>
  <c r="W79"/>
  <c r="W91"/>
  <c r="W69"/>
  <c r="X98"/>
  <c r="I98" s="1"/>
  <c r="W98"/>
  <c r="X94"/>
  <c r="X106" s="1"/>
  <c r="X108" s="1"/>
  <c r="W75"/>
  <c r="W77"/>
  <c r="I77" s="1"/>
  <c r="W78"/>
  <c r="U71"/>
  <c r="U73"/>
  <c r="H73" s="1"/>
  <c r="U74"/>
  <c r="U75"/>
  <c r="H75" s="1"/>
  <c r="U76"/>
  <c r="U77"/>
  <c r="H77" s="1"/>
  <c r="U78"/>
  <c r="U79"/>
  <c r="H79" s="1"/>
  <c r="U80"/>
  <c r="U81"/>
  <c r="H81" s="1"/>
  <c r="U82"/>
  <c r="U83"/>
  <c r="H83" s="1"/>
  <c r="U84"/>
  <c r="U85"/>
  <c r="H85" s="1"/>
  <c r="U86"/>
  <c r="U87"/>
  <c r="H87" s="1"/>
  <c r="U88"/>
  <c r="U89"/>
  <c r="H89" s="1"/>
  <c r="U90"/>
  <c r="U91"/>
  <c r="H91" s="1"/>
  <c r="U93"/>
  <c r="U94"/>
  <c r="U106" s="1"/>
  <c r="U98"/>
  <c r="X104"/>
  <c r="I104" s="1"/>
  <c r="W104"/>
  <c r="I91"/>
  <c r="I40"/>
  <c r="I45"/>
  <c r="I43"/>
  <c r="I42"/>
  <c r="I39"/>
  <c r="I38"/>
  <c r="I36"/>
  <c r="I35"/>
  <c r="I34"/>
  <c r="I33"/>
  <c r="I32"/>
  <c r="I30"/>
  <c r="I29"/>
  <c r="I28"/>
  <c r="I23"/>
  <c r="I15"/>
  <c r="I22"/>
  <c r="I19"/>
  <c r="I14"/>
  <c r="I18"/>
  <c r="I17"/>
  <c r="I16"/>
  <c r="I13"/>
  <c r="I12"/>
  <c r="I20"/>
  <c r="I103"/>
  <c r="I92"/>
  <c r="I90"/>
  <c r="I89"/>
  <c r="I88"/>
  <c r="I87"/>
  <c r="I85"/>
  <c r="I83"/>
  <c r="I81"/>
  <c r="I79"/>
  <c r="I76"/>
  <c r="I75"/>
  <c r="I74"/>
  <c r="I71"/>
  <c r="I69"/>
  <c r="I78"/>
  <c r="V79"/>
  <c r="V80"/>
  <c r="V89"/>
  <c r="V71"/>
  <c r="V94" s="1"/>
  <c r="V44"/>
  <c r="U44"/>
  <c r="H44" s="1"/>
  <c r="U45"/>
  <c r="V45"/>
  <c r="U46"/>
  <c r="U13"/>
  <c r="U28"/>
  <c r="V104"/>
  <c r="V73"/>
  <c r="V74"/>
  <c r="V82"/>
  <c r="V86"/>
  <c r="V88"/>
  <c r="V90"/>
  <c r="V91"/>
  <c r="V92"/>
  <c r="V30"/>
  <c r="V31"/>
  <c r="V50" s="1"/>
  <c r="V52" s="1"/>
  <c r="V34"/>
  <c r="V36"/>
  <c r="V20"/>
  <c r="V11"/>
  <c r="V16"/>
  <c r="H16" s="1"/>
  <c r="V17"/>
  <c r="V24"/>
  <c r="U35"/>
  <c r="U34"/>
  <c r="U50" s="1"/>
  <c r="H33"/>
  <c r="U23"/>
  <c r="H23" s="1"/>
  <c r="U22"/>
  <c r="U21"/>
  <c r="U17"/>
  <c r="U20"/>
  <c r="H20" s="1"/>
  <c r="U69"/>
  <c r="U11"/>
  <c r="U36"/>
  <c r="U42"/>
  <c r="U19"/>
  <c r="U14"/>
  <c r="U12"/>
  <c r="U40"/>
  <c r="U16"/>
  <c r="U24"/>
  <c r="H49"/>
  <c r="H40"/>
  <c r="H46"/>
  <c r="H45"/>
  <c r="H43"/>
  <c r="H48"/>
  <c r="H42"/>
  <c r="H41"/>
  <c r="H39"/>
  <c r="H38"/>
  <c r="H36"/>
  <c r="H35"/>
  <c r="H34"/>
  <c r="H32"/>
  <c r="H31"/>
  <c r="H30"/>
  <c r="H29"/>
  <c r="H28"/>
  <c r="H24"/>
  <c r="H15"/>
  <c r="H22"/>
  <c r="H21"/>
  <c r="H19"/>
  <c r="H14"/>
  <c r="H18"/>
  <c r="H17"/>
  <c r="H13"/>
  <c r="H12"/>
  <c r="H11"/>
  <c r="U104"/>
  <c r="H104" s="1"/>
  <c r="H103"/>
  <c r="H98"/>
  <c r="H93"/>
  <c r="H92"/>
  <c r="H90"/>
  <c r="H88"/>
  <c r="H86"/>
  <c r="H84"/>
  <c r="H82"/>
  <c r="H80"/>
  <c r="H78"/>
  <c r="H76"/>
  <c r="H74"/>
  <c r="H71"/>
  <c r="H69"/>
  <c r="P20"/>
  <c r="Q20"/>
  <c r="R20"/>
  <c r="S20"/>
  <c r="T20"/>
  <c r="P11"/>
  <c r="Q11"/>
  <c r="R11"/>
  <c r="S11"/>
  <c r="T11"/>
  <c r="O12"/>
  <c r="P12"/>
  <c r="Q12"/>
  <c r="R12"/>
  <c r="S12"/>
  <c r="T12"/>
  <c r="P13"/>
  <c r="P24" s="1"/>
  <c r="Q13"/>
  <c r="R13"/>
  <c r="R24" s="1"/>
  <c r="S13"/>
  <c r="T13"/>
  <c r="T24" s="1"/>
  <c r="P16"/>
  <c r="Q16"/>
  <c r="R16"/>
  <c r="S16"/>
  <c r="T16"/>
  <c r="O17"/>
  <c r="P17"/>
  <c r="Q17"/>
  <c r="R17"/>
  <c r="S17"/>
  <c r="T17"/>
  <c r="O18"/>
  <c r="P18"/>
  <c r="Q18"/>
  <c r="R18"/>
  <c r="S18"/>
  <c r="T18"/>
  <c r="P14"/>
  <c r="Q14"/>
  <c r="R14"/>
  <c r="S14"/>
  <c r="T14"/>
  <c r="P19"/>
  <c r="Q19"/>
  <c r="R19"/>
  <c r="S19"/>
  <c r="T19"/>
  <c r="P21"/>
  <c r="Q21"/>
  <c r="R21"/>
  <c r="S21"/>
  <c r="T21"/>
  <c r="O22"/>
  <c r="P22"/>
  <c r="Q22"/>
  <c r="R22"/>
  <c r="S22"/>
  <c r="T22"/>
  <c r="O15"/>
  <c r="P15"/>
  <c r="Q15"/>
  <c r="R15"/>
  <c r="S15"/>
  <c r="T15"/>
  <c r="P23"/>
  <c r="Q23"/>
  <c r="R23"/>
  <c r="S23"/>
  <c r="T23"/>
  <c r="O24"/>
  <c r="Q24"/>
  <c r="S24"/>
  <c r="P28"/>
  <c r="P50" s="1"/>
  <c r="Q28"/>
  <c r="R28"/>
  <c r="R50" s="1"/>
  <c r="S28"/>
  <c r="T28"/>
  <c r="T50" s="1"/>
  <c r="R29"/>
  <c r="Q30"/>
  <c r="R30"/>
  <c r="T30"/>
  <c r="P31"/>
  <c r="Q31"/>
  <c r="T32"/>
  <c r="O34"/>
  <c r="Q34"/>
  <c r="R34"/>
  <c r="T34"/>
  <c r="O35"/>
  <c r="P35"/>
  <c r="Q35"/>
  <c r="R35"/>
  <c r="S35"/>
  <c r="T35"/>
  <c r="O36"/>
  <c r="P36"/>
  <c r="Q36"/>
  <c r="R36"/>
  <c r="S36"/>
  <c r="T36"/>
  <c r="Q38"/>
  <c r="T38"/>
  <c r="O39"/>
  <c r="P39"/>
  <c r="Q39"/>
  <c r="R39"/>
  <c r="S39"/>
  <c r="T39"/>
  <c r="P41"/>
  <c r="Q41"/>
  <c r="T41"/>
  <c r="P42"/>
  <c r="Q42"/>
  <c r="R42"/>
  <c r="S42"/>
  <c r="T42"/>
  <c r="S48"/>
  <c r="T48"/>
  <c r="O44"/>
  <c r="P44"/>
  <c r="Q44"/>
  <c r="R44"/>
  <c r="S44"/>
  <c r="T44"/>
  <c r="O45"/>
  <c r="P45"/>
  <c r="Q45"/>
  <c r="R45"/>
  <c r="S45"/>
  <c r="T45"/>
  <c r="P46"/>
  <c r="Q46"/>
  <c r="R46"/>
  <c r="S46"/>
  <c r="T46"/>
  <c r="R40"/>
  <c r="S40"/>
  <c r="T49"/>
  <c r="O50"/>
  <c r="Q50"/>
  <c r="S50"/>
  <c r="O52"/>
  <c r="Q52"/>
  <c r="S52"/>
  <c r="P69"/>
  <c r="Q69"/>
  <c r="R69"/>
  <c r="S69"/>
  <c r="T69"/>
  <c r="P71"/>
  <c r="Q71"/>
  <c r="Q94" s="1"/>
  <c r="Q106" s="1"/>
  <c r="Q108" s="1"/>
  <c r="S71"/>
  <c r="T71"/>
  <c r="P73"/>
  <c r="Q73"/>
  <c r="R73"/>
  <c r="S73"/>
  <c r="S94" s="1"/>
  <c r="S106" s="1"/>
  <c r="S108" s="1"/>
  <c r="T73"/>
  <c r="P74"/>
  <c r="Q74"/>
  <c r="R74"/>
  <c r="S74"/>
  <c r="T74"/>
  <c r="P75"/>
  <c r="Q75"/>
  <c r="R75"/>
  <c r="S75"/>
  <c r="T75"/>
  <c r="O76"/>
  <c r="O94" s="1"/>
  <c r="O106" s="1"/>
  <c r="O108" s="1"/>
  <c r="P76"/>
  <c r="Q76"/>
  <c r="R76"/>
  <c r="S76"/>
  <c r="T76"/>
  <c r="O77"/>
  <c r="P77"/>
  <c r="R77"/>
  <c r="S77"/>
  <c r="T77"/>
  <c r="P78"/>
  <c r="Q78"/>
  <c r="R78"/>
  <c r="S78"/>
  <c r="T78"/>
  <c r="P79"/>
  <c r="Q79"/>
  <c r="R79"/>
  <c r="S79"/>
  <c r="T79"/>
  <c r="P80"/>
  <c r="Q80"/>
  <c r="R80"/>
  <c r="S80"/>
  <c r="T80"/>
  <c r="P81"/>
  <c r="Q81"/>
  <c r="R81"/>
  <c r="S81"/>
  <c r="T81"/>
  <c r="P82"/>
  <c r="Q82"/>
  <c r="S82"/>
  <c r="T82"/>
  <c r="P83"/>
  <c r="Q83"/>
  <c r="R83"/>
  <c r="S83"/>
  <c r="T83"/>
  <c r="R84"/>
  <c r="S84"/>
  <c r="T84"/>
  <c r="P85"/>
  <c r="Q85"/>
  <c r="R85"/>
  <c r="S85"/>
  <c r="T85"/>
  <c r="O86"/>
  <c r="P86"/>
  <c r="Q86"/>
  <c r="R86"/>
  <c r="S86"/>
  <c r="T86"/>
  <c r="O87"/>
  <c r="P87"/>
  <c r="Q87"/>
  <c r="R87"/>
  <c r="S87"/>
  <c r="T87"/>
  <c r="P88"/>
  <c r="Q88"/>
  <c r="R88"/>
  <c r="S88"/>
  <c r="T88"/>
  <c r="O89"/>
  <c r="P89"/>
  <c r="Q89"/>
  <c r="R89"/>
  <c r="S89"/>
  <c r="T89"/>
  <c r="R90"/>
  <c r="S90"/>
  <c r="T90"/>
  <c r="P91"/>
  <c r="Q91"/>
  <c r="R91"/>
  <c r="S91"/>
  <c r="T91"/>
  <c r="P92"/>
  <c r="Q92"/>
  <c r="R92"/>
  <c r="S92"/>
  <c r="T92"/>
  <c r="P93"/>
  <c r="Q93"/>
  <c r="R93"/>
  <c r="S93"/>
  <c r="T93"/>
  <c r="P94"/>
  <c r="R94"/>
  <c r="R106" s="1"/>
  <c r="T94"/>
  <c r="T106" s="1"/>
  <c r="P98"/>
  <c r="Q98"/>
  <c r="R98"/>
  <c r="S98"/>
  <c r="T98"/>
  <c r="P99"/>
  <c r="P104" s="1"/>
  <c r="P106" s="1"/>
  <c r="Q99"/>
  <c r="S103"/>
  <c r="T103"/>
  <c r="O104"/>
  <c r="Q104"/>
  <c r="R104"/>
  <c r="S104"/>
  <c r="T104"/>
  <c r="AF108" l="1"/>
  <c r="U52"/>
  <c r="H52" s="1"/>
  <c r="H50"/>
  <c r="U108"/>
  <c r="Z52"/>
  <c r="J52" s="1"/>
  <c r="J50"/>
  <c r="V106"/>
  <c r="V108" s="1"/>
  <c r="H94"/>
  <c r="I94"/>
  <c r="W106"/>
  <c r="W52"/>
  <c r="I52" s="1"/>
  <c r="I50"/>
  <c r="Y106"/>
  <c r="J94"/>
  <c r="AA106"/>
  <c r="K94"/>
  <c r="AD108"/>
  <c r="T52"/>
  <c r="T108" s="1"/>
  <c r="R52"/>
  <c r="R108" s="1"/>
  <c r="P52"/>
  <c r="P108" s="1"/>
  <c r="Z108"/>
  <c r="I82"/>
  <c r="I11"/>
  <c r="I41"/>
  <c r="J73"/>
  <c r="K69"/>
  <c r="K30"/>
  <c r="K50"/>
  <c r="AC106"/>
  <c r="AC52"/>
  <c r="L52" s="1"/>
  <c r="AE106"/>
  <c r="AE52"/>
  <c r="M52" s="1"/>
  <c r="M94"/>
  <c r="AE108" l="1"/>
  <c r="M108" s="1"/>
  <c r="M106"/>
  <c r="AC108"/>
  <c r="L108" s="1"/>
  <c r="L106"/>
  <c r="AA108"/>
  <c r="K108" s="1"/>
  <c r="K106"/>
  <c r="Y108"/>
  <c r="J108" s="1"/>
  <c r="J106"/>
  <c r="W108"/>
  <c r="I108" s="1"/>
  <c r="I106"/>
  <c r="H108"/>
  <c r="H106"/>
</calcChain>
</file>

<file path=xl/sharedStrings.xml><?xml version="1.0" encoding="utf-8"?>
<sst xmlns="http://schemas.openxmlformats.org/spreadsheetml/2006/main" count="372" uniqueCount="107">
  <si>
    <t xml:space="preserve">HISTORICAL TREND IN OUT-OF-STATE UNDERGRADUATE ENROLLMENT AT PUBLIC INSTITUTIONS, </t>
  </si>
  <si>
    <t xml:space="preserve">OUT-OF-STATE UNDERGRADUATES </t>
  </si>
  <si>
    <t xml:space="preserve">NUMBER OF OUT-OF-STATE </t>
  </si>
  <si>
    <t>AS A % OF TOTAL</t>
  </si>
  <si>
    <t>UNDERGRADUATE STUDENTS</t>
  </si>
  <si>
    <t>FALL</t>
  </si>
  <si>
    <t>1981</t>
  </si>
  <si>
    <t>1997</t>
  </si>
  <si>
    <t>1998</t>
  </si>
  <si>
    <t>1999</t>
  </si>
  <si>
    <t>2000</t>
  </si>
  <si>
    <t>2001</t>
  </si>
  <si>
    <t>PUBLIC BACCALAUREATE AND HIGHER DEGREE-GRANTING INSTITUTIONS</t>
  </si>
  <si>
    <t xml:space="preserve"> 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</si>
  <si>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</si>
  <si>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</si>
  <si>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</si>
  <si>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</si>
  <si>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</si>
  <si>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</si>
  <si>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</si>
  <si>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</si>
  <si>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</si>
  <si>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</si>
  <si>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</si>
  <si>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</si>
  <si>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</si>
  <si>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</si>
  <si>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</si>
  <si>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</si>
  <si>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</si>
  <si>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METRO CC - BLUE RIVER</t>
  </si>
  <si>
    <t>--</t>
  </si>
  <si>
    <t>METRO CC - LONGVIEW</t>
  </si>
  <si>
    <t>METRO CC - MAPLE WOODS</t>
  </si>
  <si>
    <t>METRO CC - PENN VALLEY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</si>
  <si>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</si>
  <si>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</si>
  <si>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</si>
  <si>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</si>
  <si>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</si>
  <si>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</si>
  <si>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</si>
  <si>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</si>
  <si>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</si>
  <si>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</si>
  <si>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</si>
  <si>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</si>
  <si>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</si>
  <si>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</si>
  <si>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NOTE:  Unknowns are not included.</t>
  </si>
  <si>
    <t>SOURCE:  DHE07-1, Geographic Origin of Undergraduate Students</t>
  </si>
  <si>
    <t xml:space="preserve">HISTORICAL TREND IN OUT-OF-STATE UNDERGRADUATE ENROLLMENT AT PRIVATE NOT-FOR-PROFIT ( INDEPENDENT) </t>
  </si>
  <si>
    <t>PRIVATE NOT-FOR-PROFIT (INDEPENDENT) BACCALAUREATE AND HIGHER DEGREE-GRANTING INSTITUTIONS</t>
  </si>
  <si>
    <t>AVILA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</si>
  <si>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</si>
  <si>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</si>
  <si>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</si>
  <si>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</si>
  <si>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</si>
  <si>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</si>
  <si>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</si>
  <si>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</si>
  <si>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</si>
  <si>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</si>
  <si>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</si>
  <si>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</si>
  <si>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</si>
  <si>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</si>
  <si>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</si>
  <si>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</si>
  <si>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</si>
  <si>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</si>
  <si>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</si>
  <si>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</si>
  <si>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</si>
  <si>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</si>
  <si>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</si>
  <si>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</si>
  <si>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</si>
  <si>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</si>
  <si>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</si>
  <si>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</si>
  <si>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</si>
  <si>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</si>
  <si>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</si>
  <si>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</si>
  <si>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>*No longer offers postsecondary programs</t>
  </si>
  <si>
    <t>NOTE:  Unknowns are not included.  Numbers for Evangel in 2001 include 41 graduate students.</t>
  </si>
  <si>
    <t xml:space="preserve">FALL </t>
  </si>
  <si>
    <t>METRO CC - BUS. &amp; TECH.</t>
  </si>
  <si>
    <t>TABLE 79</t>
  </si>
  <si>
    <t>TABLE 80</t>
  </si>
  <si>
    <t>SOURCE:  Enhanced Missouri Student Achievement Study</t>
  </si>
  <si>
    <t xml:space="preserve"> FALL</t>
  </si>
  <si>
    <t>MSU- WEST PLAINS</t>
  </si>
  <si>
    <t>MISSOURI STATE</t>
  </si>
  <si>
    <t>UCM</t>
  </si>
  <si>
    <t>CENTRAL METHODIST-CLAS</t>
  </si>
  <si>
    <t>CENTRAL METHODIST-GR/EXT</t>
  </si>
  <si>
    <t>MISSOURI UNV. OF SCI. &amp; TECH.</t>
  </si>
  <si>
    <t>ST. LOUIS CC - WILDWOOD</t>
  </si>
  <si>
    <t>NA</t>
  </si>
  <si>
    <t>This is not right, awaiting correction from UCM</t>
  </si>
  <si>
    <t>FALLTOTAL</t>
  </si>
  <si>
    <t>FALL 1981, FALL 2003-FALL 2008</t>
  </si>
  <si>
    <t>INSTITUTIONS, FALL 1981, FALL 2003-FALL 2008</t>
  </si>
</sst>
</file>

<file path=xl/styles.xml><?xml version="1.0" encoding="utf-8"?>
<styleSheet xmlns="http://schemas.openxmlformats.org/spreadsheetml/2006/main">
  <fonts count="5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color indexed="8"/>
      <name val="Times New Roman"/>
      <family val="1"/>
    </font>
    <font>
      <u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 applyNumberFormat="1" applyFont="1" applyAlignment="1" applyProtection="1">
      <protection locked="0"/>
    </xf>
    <xf numFmtId="0" fontId="1" fillId="2" borderId="0" xfId="0" applyNumberFormat="1" applyFont="1" applyFill="1" applyBorder="1" applyAlignment="1"/>
    <xf numFmtId="0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Continuous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" xfId="0" applyNumberFormat="1" applyFont="1" applyFill="1" applyBorder="1" applyAlignment="1"/>
    <xf numFmtId="0" fontId="2" fillId="2" borderId="2" xfId="0" applyNumberFormat="1" applyFont="1" applyFill="1" applyBorder="1" applyAlignment="1"/>
    <xf numFmtId="9" fontId="2" fillId="2" borderId="2" xfId="0" applyNumberFormat="1" applyFont="1" applyFill="1" applyBorder="1" applyAlignment="1"/>
    <xf numFmtId="9" fontId="2" fillId="2" borderId="0" xfId="0" applyNumberFormat="1" applyFont="1" applyFill="1" applyBorder="1" applyAlignment="1"/>
    <xf numFmtId="9" fontId="2" fillId="2" borderId="2" xfId="0" applyNumberFormat="1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9" fontId="2" fillId="2" borderId="0" xfId="0" quotePrefix="1" applyNumberFormat="1" applyFont="1" applyFill="1" applyBorder="1" applyAlignment="1">
      <alignment horizontal="right"/>
    </xf>
    <xf numFmtId="9" fontId="2" fillId="2" borderId="3" xfId="0" applyNumberFormat="1" applyFont="1" applyFill="1" applyBorder="1" applyAlignment="1"/>
    <xf numFmtId="9" fontId="1" fillId="2" borderId="0" xfId="0" applyNumberFormat="1" applyFont="1" applyFill="1" applyBorder="1" applyAlignment="1"/>
    <xf numFmtId="0" fontId="1" fillId="2" borderId="0" xfId="0" applyNumberFormat="1" applyFont="1" applyFill="1" applyBorder="1" applyAlignment="1">
      <alignment horizontal="centerContinuous"/>
    </xf>
    <xf numFmtId="0" fontId="1" fillId="2" borderId="0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/>
    <xf numFmtId="3" fontId="2" fillId="2" borderId="0" xfId="0" applyNumberFormat="1" applyFont="1" applyFill="1" applyBorder="1" applyAlignment="1"/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0" fontId="1" fillId="2" borderId="0" xfId="0" applyNumberFormat="1" applyFont="1" applyFill="1" applyBorder="1" applyAlignment="1" applyProtection="1">
      <protection locked="0"/>
    </xf>
    <xf numFmtId="3" fontId="1" fillId="2" borderId="0" xfId="0" applyNumberFormat="1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left" wrapText="1"/>
    </xf>
    <xf numFmtId="1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 wrapText="1"/>
    </xf>
    <xf numFmtId="3" fontId="2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9" fontId="1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wrapText="1"/>
    </xf>
    <xf numFmtId="0" fontId="1" fillId="2" borderId="0" xfId="0" applyNumberFormat="1" applyFont="1" applyFill="1" applyBorder="1"/>
    <xf numFmtId="0" fontId="1" fillId="2" borderId="5" xfId="0" applyNumberFormat="1" applyFont="1" applyFill="1" applyBorder="1" applyAlignment="1"/>
    <xf numFmtId="9" fontId="1" fillId="2" borderId="5" xfId="0" applyNumberFormat="1" applyFont="1" applyFill="1" applyBorder="1" applyAlignment="1"/>
    <xf numFmtId="3" fontId="1" fillId="2" borderId="5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Continuous"/>
    </xf>
    <xf numFmtId="0" fontId="2" fillId="2" borderId="4" xfId="0" applyNumberFormat="1" applyFont="1" applyFill="1" applyBorder="1" applyAlignment="1">
      <alignment horizontal="centerContinuous"/>
    </xf>
    <xf numFmtId="0" fontId="2" fillId="2" borderId="2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/>
    <xf numFmtId="3" fontId="1" fillId="2" borderId="4" xfId="0" applyNumberFormat="1" applyFont="1" applyFill="1" applyBorder="1" applyAlignment="1"/>
    <xf numFmtId="3" fontId="1" fillId="3" borderId="4" xfId="0" applyNumberFormat="1" applyFont="1" applyFill="1" applyBorder="1" applyAlignment="1"/>
    <xf numFmtId="0" fontId="2" fillId="2" borderId="2" xfId="0" applyNumberFormat="1" applyFont="1" applyFill="1" applyBorder="1" applyAlignment="1">
      <alignment horizontal="right"/>
    </xf>
    <xf numFmtId="9" fontId="2" fillId="2" borderId="7" xfId="0" applyNumberFormat="1" applyFont="1" applyFill="1" applyBorder="1" applyAlignment="1"/>
    <xf numFmtId="9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/>
    <xf numFmtId="3" fontId="1" fillId="2" borderId="1" xfId="0" applyNumberFormat="1" applyFont="1" applyFill="1" applyBorder="1" applyAlignment="1"/>
    <xf numFmtId="3" fontId="1" fillId="2" borderId="8" xfId="0" applyNumberFormat="1" applyFont="1" applyFill="1" applyBorder="1" applyAlignment="1"/>
    <xf numFmtId="0" fontId="1" fillId="2" borderId="6" xfId="0" applyNumberFormat="1" applyFont="1" applyFill="1" applyBorder="1" applyAlignment="1"/>
    <xf numFmtId="0" fontId="2" fillId="2" borderId="9" xfId="0" applyNumberFormat="1" applyFont="1" applyFill="1" applyBorder="1" applyAlignment="1">
      <alignment horizontal="centerContinuous"/>
    </xf>
    <xf numFmtId="0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NumberFormat="1" applyFont="1" applyFill="1" applyBorder="1" applyAlignment="1"/>
    <xf numFmtId="9" fontId="2" fillId="2" borderId="9" xfId="0" applyNumberFormat="1" applyFont="1" applyFill="1" applyBorder="1" applyAlignment="1"/>
    <xf numFmtId="9" fontId="2" fillId="2" borderId="10" xfId="0" applyNumberFormat="1" applyFont="1" applyFill="1" applyBorder="1" applyAlignment="1"/>
    <xf numFmtId="9" fontId="2" fillId="2" borderId="11" xfId="0" applyNumberFormat="1" applyFont="1" applyFill="1" applyBorder="1" applyAlignment="1"/>
    <xf numFmtId="0" fontId="2" fillId="2" borderId="12" xfId="0" applyNumberFormat="1" applyFont="1" applyFill="1" applyBorder="1" applyAlignment="1"/>
    <xf numFmtId="3" fontId="1" fillId="2" borderId="12" xfId="0" applyNumberFormat="1" applyFont="1" applyFill="1" applyBorder="1" applyAlignment="1"/>
    <xf numFmtId="0" fontId="1" fillId="2" borderId="13" xfId="0" applyNumberFormat="1" applyFont="1" applyFill="1" applyBorder="1" applyAlignment="1"/>
    <xf numFmtId="9" fontId="2" fillId="2" borderId="13" xfId="0" applyNumberFormat="1" applyFont="1" applyFill="1" applyBorder="1" applyAlignment="1"/>
    <xf numFmtId="3" fontId="2" fillId="2" borderId="13" xfId="0" applyNumberFormat="1" applyFont="1" applyFill="1" applyBorder="1" applyAlignment="1"/>
    <xf numFmtId="3" fontId="1" fillId="2" borderId="13" xfId="0" applyNumberFormat="1" applyFont="1" applyFill="1" applyBorder="1" applyAlignment="1"/>
    <xf numFmtId="0" fontId="2" fillId="2" borderId="13" xfId="0" applyNumberFormat="1" applyFont="1" applyFill="1" applyBorder="1" applyAlignment="1"/>
    <xf numFmtId="0" fontId="1" fillId="2" borderId="0" xfId="0" applyNumberFormat="1" applyFont="1" applyFill="1" applyBorder="1" applyAlignment="1">
      <alignment horizontal="right"/>
    </xf>
    <xf numFmtId="0" fontId="1" fillId="2" borderId="13" xfId="0" applyNumberFormat="1" applyFont="1" applyFill="1" applyBorder="1" applyAlignment="1">
      <alignment horizontal="right"/>
    </xf>
    <xf numFmtId="0" fontId="1" fillId="2" borderId="14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3" borderId="4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0" fontId="1" fillId="2" borderId="8" xfId="0" applyNumberFormat="1" applyFont="1" applyFill="1" applyBorder="1" applyAlignment="1">
      <alignment horizontal="right"/>
    </xf>
    <xf numFmtId="0" fontId="1" fillId="2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B410"/>
  <sheetViews>
    <sheetView tabSelected="1" showOutlineSymbols="0" zoomScale="85" zoomScaleNormal="85" workbookViewId="0">
      <selection activeCell="A61" sqref="A61"/>
    </sheetView>
  </sheetViews>
  <sheetFormatPr defaultColWidth="15.796875" defaultRowHeight="11.25"/>
  <cols>
    <col min="1" max="1" width="42.59765625" style="1" customWidth="1"/>
    <col min="2" max="2" width="7" style="1" customWidth="1"/>
    <col min="3" max="6" width="7" style="1" hidden="1" customWidth="1"/>
    <col min="7" max="8" width="6.796875" style="1" hidden="1" customWidth="1"/>
    <col min="9" max="12" width="6.796875" style="1" customWidth="1"/>
    <col min="13" max="14" width="10" style="1" customWidth="1"/>
    <col min="15" max="15" width="8" style="1" customWidth="1"/>
    <col min="16" max="21" width="8" style="1" hidden="1" customWidth="1"/>
    <col min="22" max="22" width="15.796875" style="1" hidden="1" customWidth="1"/>
    <col min="23" max="23" width="9" style="20" customWidth="1"/>
    <col min="24" max="24" width="15.796875" style="1" hidden="1" customWidth="1"/>
    <col min="25" max="25" width="8.19921875" style="1" customWidth="1"/>
    <col min="26" max="26" width="15.796875" style="20" hidden="1" customWidth="1"/>
    <col min="27" max="27" width="8.19921875" style="1" customWidth="1"/>
    <col min="28" max="28" width="15.796875" style="1" hidden="1" customWidth="1"/>
    <col min="29" max="29" width="8" style="1" bestFit="1" customWidth="1"/>
    <col min="30" max="30" width="8" style="1" hidden="1" customWidth="1"/>
    <col min="31" max="31" width="8.19921875" style="1" customWidth="1"/>
    <col min="32" max="32" width="15.796875" style="1" hidden="1" customWidth="1"/>
    <col min="33" max="33" width="8.19921875" style="64" customWidth="1"/>
    <col min="34" max="34" width="9.796875" style="1" hidden="1" customWidth="1"/>
    <col min="35" max="210" width="15.796875" style="1" customWidth="1"/>
    <col min="211" max="16384" width="15.796875" style="21"/>
  </cols>
  <sheetData>
    <row r="1" spans="1:34" ht="12.75" customHeight="1">
      <c r="A1" s="19" t="s">
        <v>91</v>
      </c>
    </row>
    <row r="2" spans="1:34" ht="12.75" customHeight="1">
      <c r="A2" s="19" t="s">
        <v>0</v>
      </c>
    </row>
    <row r="3" spans="1:34" ht="12.75" customHeight="1">
      <c r="A3" s="19" t="s">
        <v>105</v>
      </c>
    </row>
    <row r="4" spans="1:34" ht="12.7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59"/>
      <c r="V4" s="59"/>
      <c r="W4" s="62"/>
      <c r="X4" s="59"/>
      <c r="Y4" s="59"/>
      <c r="Z4" s="62"/>
      <c r="AA4" s="59"/>
      <c r="AB4" s="59"/>
      <c r="AC4" s="59"/>
      <c r="AD4" s="59"/>
      <c r="AE4" s="59"/>
      <c r="AF4" s="59"/>
      <c r="AG4" s="65"/>
      <c r="AH4" s="59"/>
    </row>
    <row r="5" spans="1:34" ht="12.75" customHeight="1" thickTop="1">
      <c r="A5" s="2"/>
      <c r="B5" s="36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0"/>
      <c r="O5" s="3" t="s">
        <v>2</v>
      </c>
      <c r="P5" s="3"/>
      <c r="Q5" s="3"/>
      <c r="R5" s="3"/>
      <c r="S5" s="3"/>
      <c r="T5" s="3"/>
      <c r="U5" s="15"/>
      <c r="V5" s="15"/>
      <c r="W5" s="22"/>
      <c r="X5" s="15"/>
      <c r="Y5" s="15"/>
      <c r="Z5" s="3" t="s">
        <v>2</v>
      </c>
      <c r="AA5" s="3"/>
      <c r="AB5" s="3"/>
      <c r="AC5" s="3"/>
      <c r="AD5" s="3"/>
      <c r="AE5" s="3"/>
      <c r="AG5" s="66"/>
      <c r="AH5" s="37"/>
    </row>
    <row r="6" spans="1:34" ht="12.75" customHeight="1">
      <c r="A6" s="2"/>
      <c r="B6" s="36" t="s">
        <v>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0"/>
      <c r="O6" s="3" t="s">
        <v>4</v>
      </c>
      <c r="P6" s="3"/>
      <c r="Q6" s="3"/>
      <c r="R6" s="3"/>
      <c r="S6" s="3"/>
      <c r="T6" s="3"/>
      <c r="U6" s="15"/>
      <c r="V6" s="15"/>
      <c r="W6" s="22"/>
      <c r="X6" s="15"/>
      <c r="Y6" s="15"/>
      <c r="Z6" s="3" t="s">
        <v>4</v>
      </c>
      <c r="AA6" s="3"/>
      <c r="AB6" s="3"/>
      <c r="AC6" s="3"/>
      <c r="AD6" s="3"/>
      <c r="AE6" s="3"/>
      <c r="AG6" s="67"/>
      <c r="AH6" s="37"/>
    </row>
    <row r="7" spans="1:34" ht="12.75" customHeight="1">
      <c r="B7" s="38" t="s">
        <v>5</v>
      </c>
      <c r="C7" s="4" t="s">
        <v>5</v>
      </c>
      <c r="D7" s="4" t="s">
        <v>5</v>
      </c>
      <c r="E7" s="4" t="s">
        <v>5</v>
      </c>
      <c r="F7" s="4" t="s">
        <v>5</v>
      </c>
      <c r="G7" s="4" t="s">
        <v>5</v>
      </c>
      <c r="H7" s="4" t="s">
        <v>5</v>
      </c>
      <c r="I7" s="4" t="s">
        <v>5</v>
      </c>
      <c r="J7" s="4" t="s">
        <v>5</v>
      </c>
      <c r="K7" s="4" t="s">
        <v>94</v>
      </c>
      <c r="L7" s="4" t="s">
        <v>5</v>
      </c>
      <c r="M7" s="4" t="s">
        <v>5</v>
      </c>
      <c r="N7" s="51" t="s">
        <v>5</v>
      </c>
      <c r="O7" s="4" t="s">
        <v>5</v>
      </c>
      <c r="P7" s="16" t="s">
        <v>5</v>
      </c>
      <c r="Q7" s="16" t="s">
        <v>5</v>
      </c>
      <c r="R7" s="16" t="s">
        <v>5</v>
      </c>
      <c r="S7" s="16" t="s">
        <v>5</v>
      </c>
      <c r="T7" s="16" t="s">
        <v>5</v>
      </c>
      <c r="U7" s="16" t="s">
        <v>89</v>
      </c>
      <c r="V7" s="16" t="s">
        <v>89</v>
      </c>
      <c r="W7" s="4" t="s">
        <v>5</v>
      </c>
      <c r="Y7" s="4" t="s">
        <v>5</v>
      </c>
      <c r="AA7" s="16" t="s">
        <v>5</v>
      </c>
      <c r="AB7" s="16" t="s">
        <v>5</v>
      </c>
      <c r="AC7" s="16" t="s">
        <v>5</v>
      </c>
      <c r="AD7" s="16"/>
      <c r="AE7" s="16" t="s">
        <v>5</v>
      </c>
      <c r="AG7" s="67" t="s">
        <v>5</v>
      </c>
      <c r="AH7" s="39" t="s">
        <v>104</v>
      </c>
    </row>
    <row r="8" spans="1:34" ht="12.75" customHeight="1">
      <c r="A8" s="2"/>
      <c r="B8" s="38" t="s">
        <v>6</v>
      </c>
      <c r="C8" s="4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>
        <v>2002</v>
      </c>
      <c r="I8" s="5">
        <v>2003</v>
      </c>
      <c r="J8" s="5">
        <v>2004</v>
      </c>
      <c r="K8" s="5">
        <v>2005</v>
      </c>
      <c r="L8" s="5">
        <v>2006</v>
      </c>
      <c r="M8" s="5">
        <v>2007</v>
      </c>
      <c r="N8" s="52">
        <v>2008</v>
      </c>
      <c r="O8" s="4" t="s">
        <v>6</v>
      </c>
      <c r="P8" s="4" t="s">
        <v>7</v>
      </c>
      <c r="Q8" s="5" t="s">
        <v>8</v>
      </c>
      <c r="R8" s="5" t="s">
        <v>9</v>
      </c>
      <c r="S8" s="5">
        <v>2000</v>
      </c>
      <c r="T8" s="5">
        <v>2001</v>
      </c>
      <c r="U8" s="16">
        <v>2002</v>
      </c>
      <c r="V8" s="16">
        <v>2002</v>
      </c>
      <c r="W8" s="5">
        <v>2003</v>
      </c>
      <c r="Y8" s="5">
        <v>2004</v>
      </c>
      <c r="AA8" s="16">
        <v>2005</v>
      </c>
      <c r="AC8" s="16">
        <v>2006</v>
      </c>
      <c r="AD8" s="16"/>
      <c r="AE8" s="16">
        <v>2007</v>
      </c>
      <c r="AG8" s="67">
        <v>2008</v>
      </c>
      <c r="AH8" s="39">
        <v>2008</v>
      </c>
    </row>
    <row r="9" spans="1:34" ht="36" customHeight="1">
      <c r="A9" s="23" t="s">
        <v>12</v>
      </c>
      <c r="B9" s="7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3"/>
      <c r="O9" s="2"/>
      <c r="AG9" s="67"/>
      <c r="AH9" s="40"/>
    </row>
    <row r="10" spans="1:34" ht="12.75" customHeight="1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3"/>
      <c r="O10" s="2"/>
      <c r="AG10" s="67"/>
      <c r="AH10" s="40"/>
    </row>
    <row r="11" spans="1:34" ht="12.75" customHeight="1">
      <c r="A11" s="1" t="s">
        <v>14</v>
      </c>
      <c r="B11" s="8">
        <v>1.5297906602254429E-2</v>
      </c>
      <c r="C11" s="9">
        <v>5.3030303030303032E-2</v>
      </c>
      <c r="D11" s="9">
        <v>6.22478386167147E-2</v>
      </c>
      <c r="E11" s="9">
        <v>9.0182648401826479E-2</v>
      </c>
      <c r="F11" s="9">
        <v>8.5059978189749183E-2</v>
      </c>
      <c r="G11" s="9">
        <v>5.8302967204580947E-2</v>
      </c>
      <c r="H11" s="9">
        <f t="shared" ref="H11:H24" si="0">+U11/V11</f>
        <v>6.3645621181262726E-2</v>
      </c>
      <c r="I11" s="9">
        <f t="shared" ref="I11:I24" si="1">+W11/X11</f>
        <v>7.763082231167337E-2</v>
      </c>
      <c r="J11" s="9">
        <f t="shared" ref="J11:J24" si="2">+Y11/Z11</f>
        <v>8.2866043613707169E-2</v>
      </c>
      <c r="K11" s="9">
        <f>+AA11/AB11</f>
        <v>9.0252707581227443E-2</v>
      </c>
      <c r="L11" s="9">
        <f>AC11/AD11</f>
        <v>0</v>
      </c>
      <c r="M11" s="9">
        <f>AE11/AF11</f>
        <v>0</v>
      </c>
      <c r="N11" s="54">
        <f>AG11/AH11</f>
        <v>0</v>
      </c>
      <c r="O11" s="18">
        <v>19</v>
      </c>
      <c r="P11" s="20">
        <f>43+48</f>
        <v>91</v>
      </c>
      <c r="Q11" s="20">
        <f>49+59</f>
        <v>108</v>
      </c>
      <c r="R11" s="20">
        <f>96+62</f>
        <v>158</v>
      </c>
      <c r="S11" s="20">
        <f>98+58</f>
        <v>156</v>
      </c>
      <c r="T11" s="20">
        <f>78+34</f>
        <v>112</v>
      </c>
      <c r="U11" s="20">
        <f>84+41</f>
        <v>125</v>
      </c>
      <c r="V11" s="1">
        <f>1968-4</f>
        <v>1964</v>
      </c>
      <c r="W11" s="20">
        <f>117+18</f>
        <v>135</v>
      </c>
      <c r="X11" s="1">
        <f>1911-172</f>
        <v>1739</v>
      </c>
      <c r="Y11" s="20">
        <f>114+19</f>
        <v>133</v>
      </c>
      <c r="Z11" s="20">
        <v>1605</v>
      </c>
      <c r="AA11" s="20">
        <f>138+12</f>
        <v>150</v>
      </c>
      <c r="AB11" s="1">
        <v>1662</v>
      </c>
      <c r="AC11" s="20">
        <v>0</v>
      </c>
      <c r="AD11" s="20">
        <v>1689</v>
      </c>
      <c r="AE11" s="20">
        <v>0</v>
      </c>
      <c r="AF11" s="24">
        <v>1691</v>
      </c>
      <c r="AG11" s="68">
        <v>0</v>
      </c>
      <c r="AH11" s="41">
        <v>1854</v>
      </c>
    </row>
    <row r="12" spans="1:34" ht="12.75" customHeight="1">
      <c r="A12" s="1" t="s">
        <v>15</v>
      </c>
      <c r="B12" s="8">
        <v>0.27170626349892008</v>
      </c>
      <c r="C12" s="9">
        <v>0.10283818650939919</v>
      </c>
      <c r="D12" s="9">
        <v>0.10054347826086957</v>
      </c>
      <c r="E12" s="9">
        <v>0.1125569290826285</v>
      </c>
      <c r="F12" s="9">
        <v>0.12308184143222506</v>
      </c>
      <c r="G12" s="9">
        <v>0.14980793854033292</v>
      </c>
      <c r="H12" s="9">
        <f t="shared" si="0"/>
        <v>0.13884068031933355</v>
      </c>
      <c r="I12" s="9">
        <f t="shared" si="1"/>
        <v>0.15983465380640716</v>
      </c>
      <c r="J12" s="9">
        <f t="shared" si="2"/>
        <v>0.17519685039370078</v>
      </c>
      <c r="K12" s="9">
        <f t="shared" ref="K12:K24" si="3">+AA12/AB12</f>
        <v>0.17727118067369854</v>
      </c>
      <c r="L12" s="9">
        <f>AC12/AD12</f>
        <v>0.17486338797814208</v>
      </c>
      <c r="M12" s="9">
        <f t="shared" ref="M12:M24" si="4">AE12/AF12</f>
        <v>0.17506811989100818</v>
      </c>
      <c r="N12" s="54">
        <f t="shared" ref="N12:N24" si="5">AG12/AH12</f>
        <v>5.0068119891008171E-2</v>
      </c>
      <c r="O12" s="18">
        <f>433+9+171+16</f>
        <v>629</v>
      </c>
      <c r="P12" s="20">
        <f>203+3+73</f>
        <v>279</v>
      </c>
      <c r="Q12" s="20">
        <f>203+93</f>
        <v>296</v>
      </c>
      <c r="R12" s="20">
        <f>247+99</f>
        <v>346</v>
      </c>
      <c r="S12" s="20">
        <f>231+154</f>
        <v>385</v>
      </c>
      <c r="T12" s="20">
        <f>286+182</f>
        <v>468</v>
      </c>
      <c r="U12" s="20">
        <f>256+144</f>
        <v>400</v>
      </c>
      <c r="V12" s="1">
        <v>2881</v>
      </c>
      <c r="W12" s="20">
        <f>279+3+182</f>
        <v>464</v>
      </c>
      <c r="X12" s="1">
        <v>2903</v>
      </c>
      <c r="Y12" s="20">
        <f>364+3+167</f>
        <v>534</v>
      </c>
      <c r="Z12" s="20">
        <v>3048</v>
      </c>
      <c r="AA12" s="20">
        <f>365+2+154</f>
        <v>521</v>
      </c>
      <c r="AB12" s="1">
        <f>2941-2</f>
        <v>2939</v>
      </c>
      <c r="AC12" s="20">
        <v>512</v>
      </c>
      <c r="AD12" s="20">
        <v>2928</v>
      </c>
      <c r="AE12" s="20">
        <v>514</v>
      </c>
      <c r="AF12" s="24">
        <v>2936</v>
      </c>
      <c r="AG12" s="68">
        <v>147</v>
      </c>
      <c r="AH12" s="41">
        <v>2936</v>
      </c>
    </row>
    <row r="13" spans="1:34" ht="12.75" customHeight="1">
      <c r="A13" s="1" t="s">
        <v>16</v>
      </c>
      <c r="B13" s="8">
        <v>6.0508083140877598E-2</v>
      </c>
      <c r="C13" s="9">
        <v>9.8282791377420534E-2</v>
      </c>
      <c r="D13" s="9">
        <v>0.10820559062218214</v>
      </c>
      <c r="E13" s="9">
        <v>0.12449088011333452</v>
      </c>
      <c r="F13" s="9">
        <v>0.12655601659751037</v>
      </c>
      <c r="G13" s="9">
        <v>0.12699220074601561</v>
      </c>
      <c r="H13" s="9">
        <f t="shared" si="0"/>
        <v>0.13282601176063646</v>
      </c>
      <c r="I13" s="9">
        <f t="shared" si="1"/>
        <v>0.13052320207062304</v>
      </c>
      <c r="J13" s="9">
        <f t="shared" si="2"/>
        <v>0.14111597790896971</v>
      </c>
      <c r="K13" s="9">
        <f t="shared" si="3"/>
        <v>0.14037335285505123</v>
      </c>
      <c r="L13" s="9">
        <f t="shared" ref="L13:L24" si="6">AC13/AD13</f>
        <v>0.1478997529121073</v>
      </c>
      <c r="M13" s="9">
        <f t="shared" si="4"/>
        <v>0.15567628325215435</v>
      </c>
      <c r="N13" s="54">
        <f t="shared" si="5"/>
        <v>0.13201762789806476</v>
      </c>
      <c r="O13" s="18">
        <v>262</v>
      </c>
      <c r="P13" s="20">
        <f>514+1+23</f>
        <v>538</v>
      </c>
      <c r="Q13" s="20">
        <f>559+1+40</f>
        <v>600</v>
      </c>
      <c r="R13" s="20">
        <f>627+1+75</f>
        <v>703</v>
      </c>
      <c r="S13" s="20">
        <f>644+3+85</f>
        <v>732</v>
      </c>
      <c r="T13" s="20">
        <f>637+2+110</f>
        <v>749</v>
      </c>
      <c r="U13" s="20">
        <f>611+157</f>
        <v>768</v>
      </c>
      <c r="V13" s="1">
        <v>5782</v>
      </c>
      <c r="W13" s="20">
        <f>573+133</f>
        <v>706</v>
      </c>
      <c r="X13" s="1">
        <v>5409</v>
      </c>
      <c r="Y13" s="20">
        <f>581+160</f>
        <v>741</v>
      </c>
      <c r="Z13" s="20">
        <v>5251</v>
      </c>
      <c r="AA13" s="20">
        <f>653+114</f>
        <v>767</v>
      </c>
      <c r="AB13" s="1">
        <v>5464</v>
      </c>
      <c r="AC13" s="20">
        <v>838</v>
      </c>
      <c r="AD13" s="20">
        <v>5666</v>
      </c>
      <c r="AE13" s="20">
        <v>831</v>
      </c>
      <c r="AF13" s="24">
        <v>5338</v>
      </c>
      <c r="AG13" s="68">
        <v>689</v>
      </c>
      <c r="AH13" s="41">
        <v>5219</v>
      </c>
    </row>
    <row r="14" spans="1:34" ht="12.75" customHeight="1">
      <c r="A14" s="1" t="s">
        <v>96</v>
      </c>
      <c r="B14" s="8">
        <v>4.7933157431838173E-2</v>
      </c>
      <c r="C14" s="9">
        <v>0.10306894618834081</v>
      </c>
      <c r="D14" s="9">
        <v>0.1035757446506007</v>
      </c>
      <c r="E14" s="9">
        <v>0.10361694798484326</v>
      </c>
      <c r="F14" s="9">
        <v>0.10361249064562215</v>
      </c>
      <c r="G14" s="9">
        <v>0.10233049448735723</v>
      </c>
      <c r="H14" s="9">
        <f t="shared" si="0"/>
        <v>0.10182547902641119</v>
      </c>
      <c r="I14" s="9">
        <f t="shared" si="1"/>
        <v>9.0839984796655268E-2</v>
      </c>
      <c r="J14" s="9">
        <f t="shared" si="2"/>
        <v>8.3978851592278372E-2</v>
      </c>
      <c r="K14" s="9">
        <f t="shared" si="3"/>
        <v>8.0876888778796133E-2</v>
      </c>
      <c r="L14" s="9">
        <f t="shared" si="6"/>
        <v>7.6221578655493255E-2</v>
      </c>
      <c r="M14" s="9">
        <f t="shared" si="4"/>
        <v>8.4968928813142192E-2</v>
      </c>
      <c r="N14" s="54">
        <f t="shared" si="5"/>
        <v>9.2054323111903147E-2</v>
      </c>
      <c r="O14" s="18">
        <v>654</v>
      </c>
      <c r="P14" s="20">
        <f>1121+49+301</f>
        <v>1471</v>
      </c>
      <c r="Q14" s="20">
        <f>1087+61+309</f>
        <v>1457</v>
      </c>
      <c r="R14" s="20">
        <f>1121+58+325</f>
        <v>1504</v>
      </c>
      <c r="S14" s="20">
        <f>1145+64+314</f>
        <v>1523</v>
      </c>
      <c r="T14" s="20">
        <f>1186+65+299</f>
        <v>1550</v>
      </c>
      <c r="U14" s="20">
        <f>1223+52+298</f>
        <v>1573</v>
      </c>
      <c r="V14" s="1">
        <v>15448</v>
      </c>
      <c r="W14" s="20">
        <f>1165+269</f>
        <v>1434</v>
      </c>
      <c r="X14" s="1">
        <v>15786</v>
      </c>
      <c r="Y14" s="20">
        <f>1096+270</f>
        <v>1366</v>
      </c>
      <c r="Z14" s="20">
        <f>16275-9</f>
        <v>16266</v>
      </c>
      <c r="AA14" s="20">
        <f>1038+268</f>
        <v>1306</v>
      </c>
      <c r="AB14" s="1">
        <f>16157-9</f>
        <v>16148</v>
      </c>
      <c r="AC14" s="20">
        <v>1237</v>
      </c>
      <c r="AD14" s="20">
        <v>16229</v>
      </c>
      <c r="AE14" s="20">
        <v>1381</v>
      </c>
      <c r="AF14" s="24">
        <v>16253</v>
      </c>
      <c r="AG14" s="68">
        <v>1498</v>
      </c>
      <c r="AH14" s="41">
        <v>16273</v>
      </c>
    </row>
    <row r="15" spans="1:34" ht="12.75" customHeight="1">
      <c r="A15" s="1" t="s">
        <v>100</v>
      </c>
      <c r="B15" s="8">
        <v>0.20707305723592367</v>
      </c>
      <c r="C15" s="9">
        <v>0.29109922178988329</v>
      </c>
      <c r="D15" s="9">
        <v>0.29127649088220797</v>
      </c>
      <c r="E15" s="9">
        <v>0.27197731374065481</v>
      </c>
      <c r="F15" s="9">
        <v>0.25541125541125542</v>
      </c>
      <c r="G15" s="9">
        <v>0.25119872136387855</v>
      </c>
      <c r="H15" s="9">
        <f>+U15/V15</f>
        <v>0.24642578632700807</v>
      </c>
      <c r="I15" s="9">
        <f>+W15/X15</f>
        <v>0.22583802299975533</v>
      </c>
      <c r="J15" s="9">
        <f>+Y15/Z15</f>
        <v>0.22287247012923678</v>
      </c>
      <c r="K15" s="9">
        <f>+AA15/AB15</f>
        <v>0.2222737819025522</v>
      </c>
      <c r="L15" s="9">
        <f t="shared" si="6"/>
        <v>0.21533008418254321</v>
      </c>
      <c r="M15" s="9">
        <f t="shared" si="4"/>
        <v>0.21386430678466076</v>
      </c>
      <c r="N15" s="54">
        <f t="shared" si="5"/>
        <v>0.21482386479332111</v>
      </c>
      <c r="O15" s="18">
        <f>1033+77+3+182+40</f>
        <v>1335</v>
      </c>
      <c r="P15" s="20">
        <f>1061+136</f>
        <v>1197</v>
      </c>
      <c r="Q15" s="20">
        <f>1046+136</f>
        <v>1182</v>
      </c>
      <c r="R15" s="20">
        <f>944+111</f>
        <v>1055</v>
      </c>
      <c r="S15" s="20">
        <f>845+99</f>
        <v>944</v>
      </c>
      <c r="T15" s="20">
        <f>821+122</f>
        <v>943</v>
      </c>
      <c r="U15" s="20">
        <v>948</v>
      </c>
      <c r="V15" s="1">
        <v>3847</v>
      </c>
      <c r="W15" s="20">
        <f>834+3+86</f>
        <v>923</v>
      </c>
      <c r="X15" s="1">
        <v>4087</v>
      </c>
      <c r="Y15" s="20">
        <f>828+86</f>
        <v>914</v>
      </c>
      <c r="Z15" s="20">
        <f>4119-18</f>
        <v>4101</v>
      </c>
      <c r="AA15" s="20">
        <f>878+1+79</f>
        <v>958</v>
      </c>
      <c r="AB15" s="1">
        <v>4310</v>
      </c>
      <c r="AC15" s="20">
        <v>972</v>
      </c>
      <c r="AD15" s="20">
        <v>4514</v>
      </c>
      <c r="AE15" s="20">
        <v>1015</v>
      </c>
      <c r="AF15" s="24">
        <v>4746</v>
      </c>
      <c r="AG15" s="68">
        <v>1055</v>
      </c>
      <c r="AH15" s="41">
        <v>4911</v>
      </c>
    </row>
    <row r="16" spans="1:34" ht="12.75" customHeight="1">
      <c r="A16" s="1" t="s">
        <v>17</v>
      </c>
      <c r="B16" s="8">
        <v>7.3021836111763327E-2</v>
      </c>
      <c r="C16" s="9">
        <v>8.8459285295840656E-2</v>
      </c>
      <c r="D16" s="9">
        <v>9.0961761297798371E-2</v>
      </c>
      <c r="E16" s="9">
        <v>9.3907644547923941E-2</v>
      </c>
      <c r="F16" s="9">
        <v>9.5753047581596543E-2</v>
      </c>
      <c r="G16" s="9">
        <v>0.1</v>
      </c>
      <c r="H16" s="9">
        <f t="shared" si="0"/>
        <v>9.241432422025414E-2</v>
      </c>
      <c r="I16" s="9">
        <f t="shared" si="1"/>
        <v>8.9082792207792208E-2</v>
      </c>
      <c r="J16" s="9">
        <f t="shared" si="2"/>
        <v>8.9239881539980262E-2</v>
      </c>
      <c r="K16" s="9">
        <f t="shared" si="3"/>
        <v>8.9423076923076925E-2</v>
      </c>
      <c r="L16" s="9">
        <f t="shared" si="6"/>
        <v>8.4218512898330808E-2</v>
      </c>
      <c r="M16" s="9">
        <f t="shared" si="4"/>
        <v>7.797123391370174E-2</v>
      </c>
      <c r="N16" s="54">
        <f t="shared" si="5"/>
        <v>7.5326106926327394E-2</v>
      </c>
      <c r="O16" s="18">
        <v>311</v>
      </c>
      <c r="P16" s="20">
        <f>443+1+9</f>
        <v>453</v>
      </c>
      <c r="Q16" s="20">
        <f>461+1+9</f>
        <v>471</v>
      </c>
      <c r="R16" s="20">
        <f>471+13</f>
        <v>484</v>
      </c>
      <c r="S16" s="20">
        <f>472+15</f>
        <v>487</v>
      </c>
      <c r="T16" s="20">
        <f>496+14</f>
        <v>510</v>
      </c>
      <c r="U16" s="20">
        <f>463+17</f>
        <v>480</v>
      </c>
      <c r="V16" s="1">
        <f>5197-3</f>
        <v>5194</v>
      </c>
      <c r="W16" s="20">
        <f>421+18</f>
        <v>439</v>
      </c>
      <c r="X16" s="1">
        <v>4928</v>
      </c>
      <c r="Y16" s="20">
        <v>452</v>
      </c>
      <c r="Z16" s="20">
        <v>5065</v>
      </c>
      <c r="AA16" s="20">
        <f>452+13</f>
        <v>465</v>
      </c>
      <c r="AB16" s="1">
        <v>5200</v>
      </c>
      <c r="AC16" s="20">
        <v>444</v>
      </c>
      <c r="AD16" s="20">
        <v>5272</v>
      </c>
      <c r="AE16" s="20">
        <v>412</v>
      </c>
      <c r="AF16" s="24">
        <v>5284</v>
      </c>
      <c r="AG16" s="68">
        <v>410</v>
      </c>
      <c r="AH16" s="41">
        <v>5443</v>
      </c>
    </row>
    <row r="17" spans="1:35" ht="12.75" customHeight="1">
      <c r="A17" s="1" t="s">
        <v>18</v>
      </c>
      <c r="B17" s="8">
        <v>0.44692603266090297</v>
      </c>
      <c r="C17" s="9">
        <v>0.34836613797057137</v>
      </c>
      <c r="D17" s="9">
        <v>0.34872201307707551</v>
      </c>
      <c r="E17" s="9">
        <v>0.35728080339899576</v>
      </c>
      <c r="F17" s="9">
        <v>0.36267541461636593</v>
      </c>
      <c r="G17" s="9">
        <v>0.35683218557448348</v>
      </c>
      <c r="H17" s="9">
        <f t="shared" si="0"/>
        <v>0.35330428467683372</v>
      </c>
      <c r="I17" s="9">
        <f t="shared" si="1"/>
        <v>0.35215053763440862</v>
      </c>
      <c r="J17" s="9">
        <f t="shared" si="2"/>
        <v>0.3577521324636227</v>
      </c>
      <c r="K17" s="9">
        <f t="shared" si="3"/>
        <v>0.36293333333333333</v>
      </c>
      <c r="L17" s="9">
        <f t="shared" si="6"/>
        <v>0.28446804475630572</v>
      </c>
      <c r="M17" s="9">
        <f t="shared" si="4"/>
        <v>0.27761088531542677</v>
      </c>
      <c r="N17" s="54">
        <f t="shared" si="5"/>
        <v>0.27642980935875217</v>
      </c>
      <c r="O17" s="18">
        <f>1750+42+69</f>
        <v>1861</v>
      </c>
      <c r="P17" s="20">
        <f>1688+1+134</f>
        <v>1823</v>
      </c>
      <c r="Q17" s="20">
        <f>1664+1+95</f>
        <v>1760</v>
      </c>
      <c r="R17" s="20">
        <f>1713+1+136</f>
        <v>1850</v>
      </c>
      <c r="S17" s="20">
        <f>1778+1+211</f>
        <v>1990</v>
      </c>
      <c r="T17" s="20">
        <f>1674+295</f>
        <v>1969</v>
      </c>
      <c r="U17" s="20">
        <f>1718+228</f>
        <v>1946</v>
      </c>
      <c r="V17" s="1">
        <f>5601-93</f>
        <v>5508</v>
      </c>
      <c r="W17" s="20">
        <f>1572+1+130</f>
        <v>1703</v>
      </c>
      <c r="X17" s="1">
        <f>5527-691</f>
        <v>4836</v>
      </c>
      <c r="Y17" s="20">
        <f>1397+1+28</f>
        <v>1426</v>
      </c>
      <c r="Z17" s="20">
        <f>5264-1278</f>
        <v>3986</v>
      </c>
      <c r="AA17" s="20">
        <f>1347+1+13</f>
        <v>1361</v>
      </c>
      <c r="AB17" s="1">
        <f>5381-1631</f>
        <v>3750</v>
      </c>
      <c r="AC17" s="20">
        <v>1500</v>
      </c>
      <c r="AD17" s="20">
        <v>5273</v>
      </c>
      <c r="AE17" s="20">
        <v>1571</v>
      </c>
      <c r="AF17" s="24">
        <v>5659</v>
      </c>
      <c r="AG17" s="68">
        <v>1595</v>
      </c>
      <c r="AH17" s="41">
        <v>5770</v>
      </c>
    </row>
    <row r="18" spans="1:35" ht="12.75" customHeight="1">
      <c r="A18" s="1" t="s">
        <v>19</v>
      </c>
      <c r="B18" s="8">
        <v>7.7024122283257695E-2</v>
      </c>
      <c r="C18" s="9">
        <v>0.14382239382239381</v>
      </c>
      <c r="D18" s="9">
        <v>0.13652482269503546</v>
      </c>
      <c r="E18" s="9">
        <v>0.13565996740901684</v>
      </c>
      <c r="F18" s="9">
        <v>0.14436110014475589</v>
      </c>
      <c r="G18" s="9">
        <v>0.13214915595867976</v>
      </c>
      <c r="H18" s="9">
        <f t="shared" si="0"/>
        <v>0.12945936005884517</v>
      </c>
      <c r="I18" s="9">
        <f t="shared" si="1"/>
        <v>0.12997700593004963</v>
      </c>
      <c r="J18" s="9">
        <f t="shared" si="2"/>
        <v>0.12518230432668936</v>
      </c>
      <c r="K18" s="9">
        <f t="shared" si="3"/>
        <v>0.11992683205670515</v>
      </c>
      <c r="L18" s="9">
        <f t="shared" si="6"/>
        <v>0.12632902709500402</v>
      </c>
      <c r="M18" s="9">
        <f t="shared" si="4"/>
        <v>0.12573867367038738</v>
      </c>
      <c r="N18" s="54">
        <f t="shared" si="5"/>
        <v>0.13797522426313541</v>
      </c>
      <c r="O18" s="18">
        <f>567+29+44+5</f>
        <v>645</v>
      </c>
      <c r="P18" s="20">
        <f>859+3+181</f>
        <v>1043</v>
      </c>
      <c r="Q18" s="20">
        <f>838+2+161</f>
        <v>1001</v>
      </c>
      <c r="R18" s="20">
        <f>827+1+171</f>
        <v>999</v>
      </c>
      <c r="S18" s="20">
        <f>875+1+221</f>
        <v>1097</v>
      </c>
      <c r="T18" s="20">
        <f>852+1+196</f>
        <v>1049</v>
      </c>
      <c r="U18" s="20">
        <v>1056</v>
      </c>
      <c r="V18" s="1">
        <v>8157</v>
      </c>
      <c r="W18" s="20">
        <f>919+155</f>
        <v>1074</v>
      </c>
      <c r="X18" s="1">
        <f>8481-218</f>
        <v>8263</v>
      </c>
      <c r="Y18" s="20">
        <f>875+155</f>
        <v>1030</v>
      </c>
      <c r="Z18" s="20">
        <f>8457-229</f>
        <v>8228</v>
      </c>
      <c r="AA18" s="20">
        <f>901+148</f>
        <v>1049</v>
      </c>
      <c r="AB18" s="1">
        <f>8951-204</f>
        <v>8747</v>
      </c>
      <c r="AC18" s="20">
        <v>1105</v>
      </c>
      <c r="AD18" s="20">
        <v>8747</v>
      </c>
      <c r="AE18" s="20">
        <v>1149</v>
      </c>
      <c r="AF18" s="24">
        <v>9138</v>
      </c>
      <c r="AG18" s="68">
        <v>1292</v>
      </c>
      <c r="AH18" s="41">
        <v>9364</v>
      </c>
    </row>
    <row r="19" spans="1:35" ht="12.75" customHeight="1">
      <c r="A19" s="1" t="s">
        <v>20</v>
      </c>
      <c r="B19" s="8">
        <v>0.32424293123640624</v>
      </c>
      <c r="C19" s="9">
        <v>0.28015886149263614</v>
      </c>
      <c r="D19" s="9">
        <v>0.28019720624486444</v>
      </c>
      <c r="E19" s="9">
        <v>0.27696695185371584</v>
      </c>
      <c r="F19" s="9">
        <v>0.27474608366328113</v>
      </c>
      <c r="G19" s="9">
        <v>0.27243928194297784</v>
      </c>
      <c r="H19" s="9">
        <f t="shared" si="0"/>
        <v>0.28241972680503813</v>
      </c>
      <c r="I19" s="9">
        <f t="shared" si="1"/>
        <v>0.28589767100678526</v>
      </c>
      <c r="J19" s="9">
        <f t="shared" si="2"/>
        <v>0.28011455163773047</v>
      </c>
      <c r="K19" s="9">
        <f t="shared" si="3"/>
        <v>0.27195518612215397</v>
      </c>
      <c r="L19" s="9">
        <f t="shared" si="6"/>
        <v>0.25906925613777942</v>
      </c>
      <c r="M19" s="9">
        <f t="shared" si="4"/>
        <v>0.2430695795850927</v>
      </c>
      <c r="N19" s="54">
        <f t="shared" si="5"/>
        <v>0.24201077199281867</v>
      </c>
      <c r="O19" s="18">
        <v>1938</v>
      </c>
      <c r="P19" s="20">
        <f>1564+129</f>
        <v>1693</v>
      </c>
      <c r="Q19" s="20">
        <f>1543+162</f>
        <v>1705</v>
      </c>
      <c r="R19" s="20">
        <f>1471+180</f>
        <v>1651</v>
      </c>
      <c r="S19" s="20">
        <f>1421+175</f>
        <v>1596</v>
      </c>
      <c r="T19" s="20">
        <f>1339+209</f>
        <v>1548</v>
      </c>
      <c r="U19" s="20">
        <f>1353+239</f>
        <v>1592</v>
      </c>
      <c r="V19" s="1">
        <v>5637</v>
      </c>
      <c r="W19" s="20">
        <f>1312+247</f>
        <v>1559</v>
      </c>
      <c r="X19" s="1">
        <f>5479-26</f>
        <v>5453</v>
      </c>
      <c r="Y19" s="20">
        <f>1337+228</f>
        <v>1565</v>
      </c>
      <c r="Z19" s="20">
        <v>5587</v>
      </c>
      <c r="AA19" s="20">
        <f>1299+206</f>
        <v>1505</v>
      </c>
      <c r="AB19" s="1">
        <f>5560-26</f>
        <v>5534</v>
      </c>
      <c r="AC19" s="20">
        <v>1414</v>
      </c>
      <c r="AD19" s="20">
        <v>5458</v>
      </c>
      <c r="AE19" s="20">
        <v>1324</v>
      </c>
      <c r="AF19" s="24">
        <v>5447</v>
      </c>
      <c r="AG19" s="68">
        <v>1348</v>
      </c>
      <c r="AH19" s="41">
        <v>5570</v>
      </c>
    </row>
    <row r="20" spans="1:35" ht="12.75" customHeight="1">
      <c r="A20" s="1" t="s">
        <v>97</v>
      </c>
      <c r="B20" s="8">
        <v>5.3525715615545727E-2</v>
      </c>
      <c r="C20" s="9">
        <v>0.10386918470750806</v>
      </c>
      <c r="D20" s="9">
        <v>0.10385656292286874</v>
      </c>
      <c r="E20" s="9">
        <v>0.10561128872230184</v>
      </c>
      <c r="F20" s="9">
        <v>0.10637367442877446</v>
      </c>
      <c r="G20" s="9">
        <v>0.10835264261282136</v>
      </c>
      <c r="H20" s="9">
        <f>+U20/V20</f>
        <v>0.11046178526412284</v>
      </c>
      <c r="I20" s="9">
        <f>+W20/X20</f>
        <v>9.9460204433214655E-2</v>
      </c>
      <c r="J20" s="9">
        <f>+Y20/Z20</f>
        <v>9.1653619173792611E-2</v>
      </c>
      <c r="K20" s="9">
        <f>+AA20/AB20</f>
        <v>8.8578881705795628E-2</v>
      </c>
      <c r="L20" s="9">
        <f t="shared" si="6"/>
        <v>0.14890264490714689</v>
      </c>
      <c r="M20" s="9">
        <f t="shared" si="4"/>
        <v>0.14830019243104553</v>
      </c>
      <c r="N20" s="54">
        <f t="shared" si="5"/>
        <v>0.83394957983193274</v>
      </c>
      <c r="O20" s="18">
        <v>460</v>
      </c>
      <c r="P20" s="20">
        <f>617+6+279</f>
        <v>902</v>
      </c>
      <c r="Q20" s="20">
        <f>637+4+280</f>
        <v>921</v>
      </c>
      <c r="R20" s="20">
        <f>632+326</f>
        <v>958</v>
      </c>
      <c r="S20" s="20">
        <f>654+319</f>
        <v>973</v>
      </c>
      <c r="T20" s="20">
        <f>641+341</f>
        <v>982</v>
      </c>
      <c r="U20" s="20">
        <f>588+376</f>
        <v>964</v>
      </c>
      <c r="V20" s="1">
        <f>8732-5</f>
        <v>8727</v>
      </c>
      <c r="W20" s="20">
        <f>551+306+9</f>
        <v>866</v>
      </c>
      <c r="X20" s="1">
        <v>8707</v>
      </c>
      <c r="Y20" s="20">
        <f>486+6+269</f>
        <v>761</v>
      </c>
      <c r="Z20" s="20">
        <v>8303</v>
      </c>
      <c r="AA20" s="1">
        <f>536+5+240</f>
        <v>781</v>
      </c>
      <c r="AB20" s="1">
        <v>8817</v>
      </c>
      <c r="AC20" s="20">
        <v>1323</v>
      </c>
      <c r="AD20" s="20">
        <v>8885</v>
      </c>
      <c r="AE20" s="20">
        <v>1156</v>
      </c>
      <c r="AF20" s="24">
        <v>7795</v>
      </c>
      <c r="AG20" s="69">
        <v>7443</v>
      </c>
      <c r="AH20" s="42">
        <v>8925</v>
      </c>
      <c r="AI20" s="1" t="s">
        <v>103</v>
      </c>
    </row>
    <row r="21" spans="1:35" ht="12.75" customHeight="1">
      <c r="A21" s="1" t="s">
        <v>21</v>
      </c>
      <c r="B21" s="8">
        <v>0.11337209302325581</v>
      </c>
      <c r="C21" s="9">
        <v>0.16511011184134672</v>
      </c>
      <c r="D21" s="9">
        <v>0.16547982366904035</v>
      </c>
      <c r="E21" s="9">
        <v>0.16752779961810627</v>
      </c>
      <c r="F21" s="9">
        <v>0.16638971972969979</v>
      </c>
      <c r="G21" s="9">
        <v>0.16521031207598372</v>
      </c>
      <c r="H21" s="9">
        <f t="shared" si="0"/>
        <v>0.16664127951256663</v>
      </c>
      <c r="I21" s="9">
        <f t="shared" si="1"/>
        <v>0.16585938646704829</v>
      </c>
      <c r="J21" s="9">
        <f t="shared" si="2"/>
        <v>0.17090578148201369</v>
      </c>
      <c r="K21" s="9">
        <f t="shared" si="3"/>
        <v>0.17713803450862717</v>
      </c>
      <c r="L21" s="9">
        <f t="shared" si="6"/>
        <v>0.18096302505355313</v>
      </c>
      <c r="M21" s="9">
        <f t="shared" si="4"/>
        <v>0.18515943641082686</v>
      </c>
      <c r="N21" s="54">
        <f t="shared" si="5"/>
        <v>0.20200174064403831</v>
      </c>
      <c r="O21" s="18">
        <v>2145</v>
      </c>
      <c r="P21" s="20">
        <f>2524+340</f>
        <v>2864</v>
      </c>
      <c r="Q21" s="20">
        <f>2648+280</f>
        <v>2928</v>
      </c>
      <c r="R21" s="20">
        <f>2712+271</f>
        <v>2983</v>
      </c>
      <c r="S21" s="20">
        <f>2752+252</f>
        <v>3004</v>
      </c>
      <c r="T21" s="20">
        <f>2790+254</f>
        <v>3044</v>
      </c>
      <c r="U21" s="20">
        <f>3024+258</f>
        <v>3282</v>
      </c>
      <c r="V21" s="1">
        <v>19695</v>
      </c>
      <c r="W21" s="20">
        <f>3156+3+231</f>
        <v>3390</v>
      </c>
      <c r="X21" s="1">
        <f>20441-2</f>
        <v>20439</v>
      </c>
      <c r="Y21" s="20">
        <f>3337+1+230</f>
        <v>3568</v>
      </c>
      <c r="Z21" s="20">
        <f>20883-6</f>
        <v>20877</v>
      </c>
      <c r="AA21" s="20">
        <f>3564+2+212</f>
        <v>3778</v>
      </c>
      <c r="AB21" s="1">
        <f>21335-7</f>
        <v>21328</v>
      </c>
      <c r="AC21" s="20">
        <v>3886</v>
      </c>
      <c r="AD21" s="20">
        <v>21474</v>
      </c>
      <c r="AE21" s="20">
        <v>3995</v>
      </c>
      <c r="AF21" s="24">
        <v>21576</v>
      </c>
      <c r="AG21" s="68">
        <v>4642</v>
      </c>
      <c r="AH21" s="41">
        <v>22980</v>
      </c>
    </row>
    <row r="22" spans="1:35" ht="12.75" customHeight="1">
      <c r="A22" s="1" t="s">
        <v>22</v>
      </c>
      <c r="B22" s="8">
        <v>0.12406913025151046</v>
      </c>
      <c r="C22" s="9">
        <v>0.20983274201723265</v>
      </c>
      <c r="D22" s="9">
        <v>0.21037982973149968</v>
      </c>
      <c r="E22" s="9">
        <v>0.19204712812960237</v>
      </c>
      <c r="F22" s="9">
        <v>0.16402966625463536</v>
      </c>
      <c r="G22" s="9">
        <v>0.17329476982405398</v>
      </c>
      <c r="H22" s="9">
        <f t="shared" si="0"/>
        <v>0.18354002254791432</v>
      </c>
      <c r="I22" s="9">
        <f t="shared" si="1"/>
        <v>0.18872041016690302</v>
      </c>
      <c r="J22" s="9">
        <f t="shared" si="2"/>
        <v>0.19775521111704972</v>
      </c>
      <c r="K22" s="9">
        <f t="shared" si="3"/>
        <v>0.20194236250395861</v>
      </c>
      <c r="L22" s="9">
        <f t="shared" si="6"/>
        <v>0.22087664773336191</v>
      </c>
      <c r="M22" s="9">
        <f t="shared" si="4"/>
        <v>0.22465361776995821</v>
      </c>
      <c r="N22" s="54">
        <f t="shared" si="5"/>
        <v>0.23280423280423279</v>
      </c>
      <c r="O22" s="18">
        <f>318+496+55+14</f>
        <v>883</v>
      </c>
      <c r="P22" s="20">
        <f>1014+228</f>
        <v>1242</v>
      </c>
      <c r="Q22" s="20">
        <f>1094+191</f>
        <v>1285</v>
      </c>
      <c r="R22" s="20">
        <f>1128+176</f>
        <v>1304</v>
      </c>
      <c r="S22" s="20">
        <f>1159+168</f>
        <v>1327</v>
      </c>
      <c r="T22" s="20">
        <f>1243+195</f>
        <v>1438</v>
      </c>
      <c r="U22" s="20">
        <f>1453+175</f>
        <v>1628</v>
      </c>
      <c r="V22" s="1">
        <v>8870</v>
      </c>
      <c r="W22" s="20">
        <f>1553+177</f>
        <v>1730</v>
      </c>
      <c r="X22" s="1">
        <v>9167</v>
      </c>
      <c r="Y22" s="20">
        <f>1680+170</f>
        <v>1850</v>
      </c>
      <c r="Z22" s="20">
        <f>9393-38</f>
        <v>9355</v>
      </c>
      <c r="AA22" s="20">
        <f>1740+173</f>
        <v>1913</v>
      </c>
      <c r="AB22" s="1">
        <f>9487-14</f>
        <v>9473</v>
      </c>
      <c r="AC22" s="20">
        <v>2061</v>
      </c>
      <c r="AD22" s="20">
        <v>9331</v>
      </c>
      <c r="AE22" s="20">
        <v>2043</v>
      </c>
      <c r="AF22" s="24">
        <v>9094</v>
      </c>
      <c r="AG22" s="68">
        <v>2156</v>
      </c>
      <c r="AH22" s="41">
        <v>9261</v>
      </c>
    </row>
    <row r="23" spans="1:35" ht="12.75" customHeight="1">
      <c r="A23" s="1" t="s">
        <v>23</v>
      </c>
      <c r="B23" s="8">
        <v>4.1040746195385371E-2</v>
      </c>
      <c r="C23" s="9">
        <v>6.1313754588768254E-2</v>
      </c>
      <c r="D23" s="9">
        <v>6.365095132574311E-2</v>
      </c>
      <c r="E23" s="9">
        <v>6.4475841074076959E-2</v>
      </c>
      <c r="F23" s="9">
        <v>7.2864321608040197E-2</v>
      </c>
      <c r="G23" s="9">
        <v>7.4267953541632584E-2</v>
      </c>
      <c r="H23" s="9">
        <f t="shared" si="0"/>
        <v>7.7159037281736662E-2</v>
      </c>
      <c r="I23" s="9">
        <f t="shared" si="1"/>
        <v>8.5478887744593196E-2</v>
      </c>
      <c r="J23" s="9">
        <f t="shared" si="2"/>
        <v>7.756210559948877E-2</v>
      </c>
      <c r="K23" s="9">
        <f t="shared" si="3"/>
        <v>8.9560526733301601E-2</v>
      </c>
      <c r="L23" s="9">
        <f t="shared" si="6"/>
        <v>9.082133376236827E-2</v>
      </c>
      <c r="M23" s="9">
        <f t="shared" si="4"/>
        <v>9.2616475898758668E-2</v>
      </c>
      <c r="N23" s="54">
        <f t="shared" si="5"/>
        <v>7.8653503803204405E-2</v>
      </c>
      <c r="O23" s="18">
        <v>418</v>
      </c>
      <c r="P23" s="20">
        <f>450+335</f>
        <v>785</v>
      </c>
      <c r="Q23" s="20">
        <f>479+354</f>
        <v>833</v>
      </c>
      <c r="R23" s="20">
        <f>438+388</f>
        <v>826</v>
      </c>
      <c r="S23" s="20">
        <f>458+470</f>
        <v>928</v>
      </c>
      <c r="T23" s="20">
        <f>458+450</f>
        <v>908</v>
      </c>
      <c r="U23" s="20">
        <f>502+479</f>
        <v>981</v>
      </c>
      <c r="V23" s="1">
        <v>12714</v>
      </c>
      <c r="W23" s="20">
        <f>634+1+444</f>
        <v>1079</v>
      </c>
      <c r="X23" s="1">
        <v>12623</v>
      </c>
      <c r="Y23" s="20">
        <f>538+1+432</f>
        <v>971</v>
      </c>
      <c r="Z23" s="20">
        <v>12519</v>
      </c>
      <c r="AA23" s="20">
        <f>694+1+434</f>
        <v>1129</v>
      </c>
      <c r="AB23" s="1">
        <v>12606</v>
      </c>
      <c r="AC23" s="20">
        <v>1129</v>
      </c>
      <c r="AD23" s="20">
        <v>12431</v>
      </c>
      <c r="AE23" s="20">
        <v>1149</v>
      </c>
      <c r="AF23" s="24">
        <v>12406</v>
      </c>
      <c r="AG23" s="68">
        <v>972</v>
      </c>
      <c r="AH23" s="41">
        <v>12358</v>
      </c>
    </row>
    <row r="24" spans="1:35" ht="12.75" customHeight="1">
      <c r="A24" s="1" t="s">
        <v>24</v>
      </c>
      <c r="B24" s="8">
        <v>0.12096099112673699</v>
      </c>
      <c r="C24" s="9">
        <v>0.14873614098957472</v>
      </c>
      <c r="D24" s="9">
        <v>0.1488214592625936</v>
      </c>
      <c r="E24" s="9">
        <v>0.14970404638290136</v>
      </c>
      <c r="F24" s="9">
        <v>0.14969994760205241</v>
      </c>
      <c r="G24" s="9">
        <v>0.1495680451348757</v>
      </c>
      <c r="H24" s="9">
        <f t="shared" si="0"/>
        <v>0.15076036160269671</v>
      </c>
      <c r="I24" s="9">
        <f t="shared" si="1"/>
        <v>0.14857197623155069</v>
      </c>
      <c r="J24" s="9">
        <f t="shared" si="2"/>
        <v>0.14695127218281809</v>
      </c>
      <c r="K24" s="9">
        <f t="shared" si="3"/>
        <v>0.14798354375436412</v>
      </c>
      <c r="L24" s="9">
        <f t="shared" si="6"/>
        <v>0.15219144183804925</v>
      </c>
      <c r="M24" s="9">
        <f t="shared" si="4"/>
        <v>0.15405679796577965</v>
      </c>
      <c r="N24" s="54">
        <f t="shared" si="5"/>
        <v>0.20968934911242604</v>
      </c>
      <c r="O24" s="18">
        <f t="shared" ref="O24:T24" si="7">SUM(O11:O23)</f>
        <v>11560</v>
      </c>
      <c r="P24" s="18">
        <f t="shared" si="7"/>
        <v>14381</v>
      </c>
      <c r="Q24" s="18">
        <f t="shared" si="7"/>
        <v>14547</v>
      </c>
      <c r="R24" s="18">
        <f t="shared" si="7"/>
        <v>14821</v>
      </c>
      <c r="S24" s="18">
        <f t="shared" si="7"/>
        <v>15142</v>
      </c>
      <c r="T24" s="18">
        <f t="shared" si="7"/>
        <v>15270</v>
      </c>
      <c r="U24" s="20">
        <f t="shared" ref="U24:AG24" si="8">SUM(U11:U23)</f>
        <v>15743</v>
      </c>
      <c r="V24" s="1">
        <f t="shared" si="8"/>
        <v>104424</v>
      </c>
      <c r="W24" s="20">
        <f t="shared" si="8"/>
        <v>15502</v>
      </c>
      <c r="X24" s="20">
        <f t="shared" si="8"/>
        <v>104340</v>
      </c>
      <c r="Y24" s="20">
        <f t="shared" si="8"/>
        <v>15311</v>
      </c>
      <c r="Z24" s="20">
        <f t="shared" si="8"/>
        <v>104191</v>
      </c>
      <c r="AA24" s="20">
        <f t="shared" si="8"/>
        <v>15683</v>
      </c>
      <c r="AB24" s="20">
        <f t="shared" si="8"/>
        <v>105978</v>
      </c>
      <c r="AC24" s="20">
        <f t="shared" si="8"/>
        <v>16421</v>
      </c>
      <c r="AD24" s="20">
        <f>SUM(AD11:AD23)</f>
        <v>107897</v>
      </c>
      <c r="AE24" s="20">
        <f t="shared" si="8"/>
        <v>16540</v>
      </c>
      <c r="AF24" s="20">
        <f t="shared" si="8"/>
        <v>107363</v>
      </c>
      <c r="AG24" s="70">
        <f t="shared" si="8"/>
        <v>23247</v>
      </c>
      <c r="AH24" s="41">
        <f t="shared" ref="AH24" si="9">SUM(AH11:AH23)</f>
        <v>110864</v>
      </c>
    </row>
    <row r="25" spans="1:35" ht="12.75" customHeight="1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54"/>
      <c r="O25" s="18"/>
      <c r="P25" s="20"/>
      <c r="Q25" s="20"/>
      <c r="R25" s="20"/>
      <c r="S25" s="20"/>
      <c r="T25" s="20"/>
      <c r="AG25" s="67"/>
      <c r="AH25" s="40"/>
    </row>
    <row r="26" spans="1:35" ht="37.5" customHeight="1">
      <c r="A26" s="25" t="s">
        <v>25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54"/>
      <c r="O26" s="18"/>
      <c r="P26" s="20"/>
      <c r="Q26" s="20"/>
      <c r="R26" s="20"/>
      <c r="S26" s="20"/>
      <c r="T26" s="20"/>
      <c r="AG26" s="67"/>
      <c r="AH26" s="40"/>
    </row>
    <row r="27" spans="1:35" ht="12.75" customHeight="1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54"/>
      <c r="O27" s="18"/>
      <c r="P27" s="20"/>
      <c r="Q27" s="20"/>
      <c r="R27" s="20"/>
      <c r="S27" s="20"/>
      <c r="T27" s="20"/>
      <c r="AG27" s="67"/>
      <c r="AH27" s="40"/>
    </row>
    <row r="28" spans="1:35" ht="12.75" customHeight="1">
      <c r="A28" s="1" t="s">
        <v>26</v>
      </c>
      <c r="B28" s="8">
        <v>4.2424242424242427E-2</v>
      </c>
      <c r="C28" s="9">
        <v>5.4472477064220183E-2</v>
      </c>
      <c r="D28" s="9">
        <v>5.9428571428571428E-2</v>
      </c>
      <c r="E28" s="9">
        <v>5.2801724137931036E-2</v>
      </c>
      <c r="F28" s="9">
        <v>3.7230948225712622E-2</v>
      </c>
      <c r="G28" s="9">
        <v>3.0333167578319244E-2</v>
      </c>
      <c r="H28" s="9">
        <f t="shared" ref="H28:H36" si="10">+U28/V28</f>
        <v>3.972661255873558E-2</v>
      </c>
      <c r="I28" s="9">
        <f t="shared" ref="I28:I36" si="11">+W28/X28</f>
        <v>4.4564764681382756E-2</v>
      </c>
      <c r="J28" s="9">
        <f t="shared" ref="J28:J36" si="12">+Y28/Z28</f>
        <v>3.8921001926782273E-2</v>
      </c>
      <c r="K28" s="9">
        <f t="shared" ref="K28:K36" si="13">+AA28/AB28</f>
        <v>5.0977385971636639E-2</v>
      </c>
      <c r="L28" s="9">
        <f>AC28/AD28</f>
        <v>5.1440329218106998E-2</v>
      </c>
      <c r="M28" s="9">
        <f>AE28/AF28</f>
        <v>4.4177881802223526E-2</v>
      </c>
      <c r="N28" s="54">
        <f t="shared" ref="N28:N50" si="14">AG28/AH28</f>
        <v>4.3771953526074034E-2</v>
      </c>
      <c r="O28" s="18">
        <v>49</v>
      </c>
      <c r="P28" s="20">
        <f>87+8</f>
        <v>95</v>
      </c>
      <c r="Q28" s="20">
        <f>72+32</f>
        <v>104</v>
      </c>
      <c r="R28" s="20">
        <f>69+1+28</f>
        <v>98</v>
      </c>
      <c r="S28" s="20">
        <f>44+20</f>
        <v>64</v>
      </c>
      <c r="T28" s="20">
        <f>44+17</f>
        <v>61</v>
      </c>
      <c r="U28" s="1">
        <f>57+36</f>
        <v>93</v>
      </c>
      <c r="V28" s="1">
        <v>2341</v>
      </c>
      <c r="W28" s="20">
        <f>87+20</f>
        <v>107</v>
      </c>
      <c r="X28" s="1">
        <v>2401</v>
      </c>
      <c r="Y28" s="1">
        <f>85+16</f>
        <v>101</v>
      </c>
      <c r="Z28" s="20">
        <v>2595</v>
      </c>
      <c r="AA28" s="1">
        <v>133</v>
      </c>
      <c r="AB28" s="1">
        <v>2609</v>
      </c>
      <c r="AC28" s="1">
        <v>150</v>
      </c>
      <c r="AD28" s="1">
        <v>2916</v>
      </c>
      <c r="AE28" s="20">
        <v>151</v>
      </c>
      <c r="AF28" s="20">
        <v>3418</v>
      </c>
      <c r="AG28" s="70">
        <v>162</v>
      </c>
      <c r="AH28" s="41">
        <v>3701</v>
      </c>
    </row>
    <row r="29" spans="1:35" ht="12.75" customHeight="1">
      <c r="A29" s="1" t="s">
        <v>27</v>
      </c>
      <c r="B29" s="8">
        <v>2.4509803921568627E-3</v>
      </c>
      <c r="C29" s="9">
        <v>9.2621179376350721E-4</v>
      </c>
      <c r="D29" s="9">
        <v>2.6229508196721311E-3</v>
      </c>
      <c r="E29" s="9">
        <v>9.9750623441396506E-3</v>
      </c>
      <c r="F29" s="9">
        <v>6.269592476489028E-3</v>
      </c>
      <c r="G29" s="9">
        <v>2.0219526285384171E-3</v>
      </c>
      <c r="H29" s="9">
        <f t="shared" si="10"/>
        <v>1.8077734257306419E-3</v>
      </c>
      <c r="I29" s="9">
        <f t="shared" si="11"/>
        <v>9.7213220998055737E-4</v>
      </c>
      <c r="J29" s="9">
        <f t="shared" si="12"/>
        <v>1.2690355329949238E-3</v>
      </c>
      <c r="K29" s="9">
        <f t="shared" si="13"/>
        <v>0</v>
      </c>
      <c r="L29" s="9">
        <f t="shared" ref="L29:L52" si="15">AC29/AD29</f>
        <v>1.2121212121212121E-3</v>
      </c>
      <c r="M29" s="9">
        <f t="shared" ref="M29:M52" si="16">AE29/AF29</f>
        <v>1.7276130146847107E-3</v>
      </c>
      <c r="N29" s="54">
        <f t="shared" si="14"/>
        <v>1.3923698134224449E-3</v>
      </c>
      <c r="O29" s="18">
        <v>5</v>
      </c>
      <c r="P29" s="20">
        <v>3</v>
      </c>
      <c r="Q29" s="20">
        <v>8</v>
      </c>
      <c r="R29" s="20">
        <f>7+14+11</f>
        <v>32</v>
      </c>
      <c r="S29" s="20">
        <v>20</v>
      </c>
      <c r="T29" s="20">
        <v>7</v>
      </c>
      <c r="U29" s="1">
        <v>6</v>
      </c>
      <c r="V29" s="1">
        <v>3319</v>
      </c>
      <c r="W29" s="20">
        <v>3</v>
      </c>
      <c r="X29" s="1">
        <f>3269-183</f>
        <v>3086</v>
      </c>
      <c r="Y29" s="1">
        <v>4</v>
      </c>
      <c r="Z29" s="20">
        <v>3152</v>
      </c>
      <c r="AA29" s="1">
        <v>0</v>
      </c>
      <c r="AB29" s="1">
        <f>3486-189</f>
        <v>3297</v>
      </c>
      <c r="AC29" s="1">
        <v>4</v>
      </c>
      <c r="AD29" s="1">
        <v>3300</v>
      </c>
      <c r="AE29" s="20">
        <v>6</v>
      </c>
      <c r="AF29" s="20">
        <v>3473</v>
      </c>
      <c r="AG29" s="70">
        <v>5</v>
      </c>
      <c r="AH29" s="41">
        <v>3591</v>
      </c>
    </row>
    <row r="30" spans="1:35" ht="12.75" customHeight="1">
      <c r="A30" s="1" t="s">
        <v>28</v>
      </c>
      <c r="B30" s="8">
        <v>2.7580772261623326E-3</v>
      </c>
      <c r="C30" s="9">
        <v>2.2715800100959111E-3</v>
      </c>
      <c r="D30" s="9">
        <v>4.0578239918843519E-3</v>
      </c>
      <c r="E30" s="9">
        <v>1.0452961672473868E-2</v>
      </c>
      <c r="F30" s="9">
        <v>6.7114093959731542E-3</v>
      </c>
      <c r="G30" s="9">
        <v>1.1308562197092083E-2</v>
      </c>
      <c r="H30" s="9">
        <f t="shared" si="10"/>
        <v>7.341373885684321E-3</v>
      </c>
      <c r="I30" s="9">
        <f t="shared" si="11"/>
        <v>7.4511819116135662E-3</v>
      </c>
      <c r="J30" s="9">
        <f t="shared" si="12"/>
        <v>4.7511877969492371E-3</v>
      </c>
      <c r="K30" s="9">
        <f t="shared" si="13"/>
        <v>9.2438966579758228E-3</v>
      </c>
      <c r="L30" s="9">
        <f t="shared" si="15"/>
        <v>1.0750228728270814E-2</v>
      </c>
      <c r="M30" s="9">
        <f t="shared" si="16"/>
        <v>1.0069225928256766E-2</v>
      </c>
      <c r="N30" s="54">
        <f t="shared" si="14"/>
        <v>1.0884353741496598E-2</v>
      </c>
      <c r="O30" s="18">
        <v>7</v>
      </c>
      <c r="P30" s="20">
        <v>9</v>
      </c>
      <c r="Q30" s="20">
        <f>15+1</f>
        <v>16</v>
      </c>
      <c r="R30" s="20">
        <f>26+7</f>
        <v>33</v>
      </c>
      <c r="S30" s="20">
        <v>23</v>
      </c>
      <c r="T30" s="20">
        <f>26+16</f>
        <v>42</v>
      </c>
      <c r="U30" s="1">
        <v>28</v>
      </c>
      <c r="V30" s="1">
        <f>3989-175</f>
        <v>3814</v>
      </c>
      <c r="W30" s="20">
        <f>23+2+4</f>
        <v>29</v>
      </c>
      <c r="X30" s="1">
        <f>4065-173</f>
        <v>3892</v>
      </c>
      <c r="Y30" s="1">
        <f>11+3+5</f>
        <v>19</v>
      </c>
      <c r="Z30" s="20">
        <f>4136-137</f>
        <v>3999</v>
      </c>
      <c r="AA30" s="1">
        <f>34+1+4</f>
        <v>39</v>
      </c>
      <c r="AB30" s="1">
        <f>4355-136</f>
        <v>4219</v>
      </c>
      <c r="AC30" s="1">
        <v>47</v>
      </c>
      <c r="AD30" s="1">
        <v>4372</v>
      </c>
      <c r="AE30" s="20">
        <v>48</v>
      </c>
      <c r="AF30" s="20">
        <v>4767</v>
      </c>
      <c r="AG30" s="70">
        <v>56</v>
      </c>
      <c r="AH30" s="41">
        <v>5145</v>
      </c>
    </row>
    <row r="31" spans="1:35" ht="12.75" customHeight="1">
      <c r="A31" s="1" t="s">
        <v>29</v>
      </c>
      <c r="B31" s="10" t="s">
        <v>30</v>
      </c>
      <c r="C31" s="9">
        <v>3.3025099075297229E-2</v>
      </c>
      <c r="D31" s="9">
        <v>2.4357239512855209E-2</v>
      </c>
      <c r="E31" s="9">
        <v>2.3778071334214002E-2</v>
      </c>
      <c r="F31" s="9">
        <v>1.9920318725099601E-2</v>
      </c>
      <c r="G31" s="9">
        <v>1.6029593094944512E-2</v>
      </c>
      <c r="H31" s="9">
        <f t="shared" si="10"/>
        <v>1.1668611435239206E-2</v>
      </c>
      <c r="I31" s="9">
        <f t="shared" si="11"/>
        <v>5.7736720554272519E-3</v>
      </c>
      <c r="J31" s="9">
        <f t="shared" si="12"/>
        <v>1.5011547344110854E-2</v>
      </c>
      <c r="K31" s="9">
        <f t="shared" si="13"/>
        <v>1.5945330296127564E-2</v>
      </c>
      <c r="L31" s="9">
        <f t="shared" si="15"/>
        <v>9.1220068415051314E-3</v>
      </c>
      <c r="M31" s="9">
        <f t="shared" si="16"/>
        <v>1.8327605956471937E-2</v>
      </c>
      <c r="N31" s="54">
        <f t="shared" si="14"/>
        <v>3.8026721479958892E-2</v>
      </c>
      <c r="O31" s="11" t="s">
        <v>30</v>
      </c>
      <c r="P31" s="20">
        <f>11+14</f>
        <v>25</v>
      </c>
      <c r="Q31" s="20">
        <f>5+13</f>
        <v>18</v>
      </c>
      <c r="R31" s="20">
        <v>18</v>
      </c>
      <c r="S31" s="20">
        <v>15</v>
      </c>
      <c r="T31" s="20">
        <v>13</v>
      </c>
      <c r="U31" s="1">
        <v>10</v>
      </c>
      <c r="V31" s="1">
        <f>875-18</f>
        <v>857</v>
      </c>
      <c r="W31" s="20">
        <v>5</v>
      </c>
      <c r="X31" s="1">
        <f>872-6</f>
        <v>866</v>
      </c>
      <c r="Y31" s="1">
        <v>13</v>
      </c>
      <c r="Z31" s="20">
        <v>866</v>
      </c>
      <c r="AA31" s="1">
        <v>14</v>
      </c>
      <c r="AB31" s="1">
        <v>878</v>
      </c>
      <c r="AC31" s="1">
        <v>8</v>
      </c>
      <c r="AD31" s="1">
        <v>877</v>
      </c>
      <c r="AE31" s="20">
        <v>16</v>
      </c>
      <c r="AF31" s="20">
        <v>873</v>
      </c>
      <c r="AG31" s="70">
        <v>37</v>
      </c>
      <c r="AH31" s="41">
        <v>973</v>
      </c>
    </row>
    <row r="32" spans="1:35" ht="12.75" customHeight="1">
      <c r="A32" s="19" t="s">
        <v>31</v>
      </c>
      <c r="B32" s="10" t="s">
        <v>32</v>
      </c>
      <c r="C32" s="11" t="s">
        <v>32</v>
      </c>
      <c r="D32" s="11" t="s">
        <v>32</v>
      </c>
      <c r="E32" s="11" t="s">
        <v>32</v>
      </c>
      <c r="F32" s="9">
        <v>1.431980906921241E-3</v>
      </c>
      <c r="G32" s="9">
        <v>1.7873100983020554E-3</v>
      </c>
      <c r="H32" s="9">
        <f t="shared" si="10"/>
        <v>2.8832292167227293E-3</v>
      </c>
      <c r="I32" s="9">
        <f t="shared" si="11"/>
        <v>2.5817555938037868E-3</v>
      </c>
      <c r="J32" s="9">
        <f t="shared" si="12"/>
        <v>2.1824530772588391E-3</v>
      </c>
      <c r="K32" s="9">
        <f t="shared" si="13"/>
        <v>3.3936651583710408E-3</v>
      </c>
      <c r="L32" s="9">
        <f t="shared" si="15"/>
        <v>1.889644746787604E-3</v>
      </c>
      <c r="M32" s="9">
        <f t="shared" si="16"/>
        <v>2.0797227036395147E-3</v>
      </c>
      <c r="N32" s="54">
        <f t="shared" si="14"/>
        <v>3.6018336607727569E-3</v>
      </c>
      <c r="O32" s="26" t="s">
        <v>32</v>
      </c>
      <c r="P32" s="27" t="s">
        <v>32</v>
      </c>
      <c r="Q32" s="27" t="s">
        <v>32</v>
      </c>
      <c r="R32" s="27" t="s">
        <v>32</v>
      </c>
      <c r="S32" s="20">
        <v>3</v>
      </c>
      <c r="T32" s="20">
        <f>3+1</f>
        <v>4</v>
      </c>
      <c r="U32" s="1">
        <v>6</v>
      </c>
      <c r="V32" s="1">
        <v>2081</v>
      </c>
      <c r="W32" s="20">
        <v>6</v>
      </c>
      <c r="X32" s="1">
        <v>2324</v>
      </c>
      <c r="Y32" s="1">
        <v>5</v>
      </c>
      <c r="Z32" s="20">
        <v>2291</v>
      </c>
      <c r="AA32" s="1">
        <v>9</v>
      </c>
      <c r="AB32" s="1">
        <v>2652</v>
      </c>
      <c r="AC32" s="1">
        <v>5</v>
      </c>
      <c r="AD32" s="1">
        <v>2646</v>
      </c>
      <c r="AE32" s="20">
        <v>6</v>
      </c>
      <c r="AF32" s="20">
        <v>2885</v>
      </c>
      <c r="AG32" s="70">
        <v>11</v>
      </c>
      <c r="AH32" s="41">
        <v>3054</v>
      </c>
    </row>
    <row r="33" spans="1:34" ht="12.75" customHeight="1">
      <c r="A33" s="19" t="s">
        <v>90</v>
      </c>
      <c r="B33" s="10" t="s">
        <v>32</v>
      </c>
      <c r="C33" s="11" t="s">
        <v>32</v>
      </c>
      <c r="D33" s="11" t="s">
        <v>32</v>
      </c>
      <c r="E33" s="11" t="s">
        <v>32</v>
      </c>
      <c r="F33" s="11" t="s">
        <v>32</v>
      </c>
      <c r="G33" s="11" t="s">
        <v>32</v>
      </c>
      <c r="H33" s="9">
        <f t="shared" si="10"/>
        <v>1.8181818181818181E-2</v>
      </c>
      <c r="I33" s="9">
        <f t="shared" si="11"/>
        <v>3.7406483790523692E-2</v>
      </c>
      <c r="J33" s="9">
        <f t="shared" si="12"/>
        <v>3.9215686274509803E-2</v>
      </c>
      <c r="K33" s="9">
        <f t="shared" si="13"/>
        <v>5.6761268781302172E-2</v>
      </c>
      <c r="L33" s="9">
        <f t="shared" si="15"/>
        <v>5.7471264367816091E-2</v>
      </c>
      <c r="M33" s="9">
        <f t="shared" si="16"/>
        <v>3.7441497659906398E-2</v>
      </c>
      <c r="N33" s="54">
        <f t="shared" si="14"/>
        <v>4.0561622464898597E-2</v>
      </c>
      <c r="O33" s="26" t="s">
        <v>32</v>
      </c>
      <c r="P33" s="27" t="s">
        <v>32</v>
      </c>
      <c r="Q33" s="27" t="s">
        <v>32</v>
      </c>
      <c r="R33" s="27" t="s">
        <v>32</v>
      </c>
      <c r="S33" s="27" t="s">
        <v>32</v>
      </c>
      <c r="T33" s="27" t="s">
        <v>32</v>
      </c>
      <c r="U33" s="1">
        <v>7</v>
      </c>
      <c r="V33" s="1">
        <v>385</v>
      </c>
      <c r="W33" s="20">
        <v>15</v>
      </c>
      <c r="X33" s="1">
        <v>401</v>
      </c>
      <c r="Y33" s="1">
        <v>14</v>
      </c>
      <c r="Z33" s="20">
        <v>357</v>
      </c>
      <c r="AA33" s="1">
        <v>34</v>
      </c>
      <c r="AB33" s="1">
        <v>599</v>
      </c>
      <c r="AC33" s="1">
        <v>35</v>
      </c>
      <c r="AD33" s="1">
        <v>609</v>
      </c>
      <c r="AE33" s="20">
        <v>24</v>
      </c>
      <c r="AF33" s="20">
        <v>641</v>
      </c>
      <c r="AG33" s="70">
        <v>26</v>
      </c>
      <c r="AH33" s="41">
        <v>641</v>
      </c>
    </row>
    <row r="34" spans="1:34" ht="12.75" customHeight="1">
      <c r="A34" s="19" t="s">
        <v>33</v>
      </c>
      <c r="B34" s="8">
        <v>1.2050785452980417E-2</v>
      </c>
      <c r="C34" s="9">
        <v>7.5910931174089065E-3</v>
      </c>
      <c r="D34" s="9">
        <v>8.899876390605686E-3</v>
      </c>
      <c r="E34" s="9">
        <v>9.6470875564782024E-3</v>
      </c>
      <c r="F34" s="9">
        <v>1.2288276320159415E-2</v>
      </c>
      <c r="G34" s="9">
        <v>7.2098053352559477E-3</v>
      </c>
      <c r="H34" s="9">
        <f t="shared" si="10"/>
        <v>1.0863942058975685E-2</v>
      </c>
      <c r="I34" s="9">
        <f t="shared" si="11"/>
        <v>7.8767722737615956E-3</v>
      </c>
      <c r="J34" s="9">
        <f t="shared" si="12"/>
        <v>6.6036052114938426E-3</v>
      </c>
      <c r="K34" s="9">
        <f t="shared" si="13"/>
        <v>7.0422535211267607E-3</v>
      </c>
      <c r="L34" s="9">
        <f t="shared" si="15"/>
        <v>8.5106382978723406E-3</v>
      </c>
      <c r="M34" s="9">
        <f t="shared" si="16"/>
        <v>8.5074902903643432E-3</v>
      </c>
      <c r="N34" s="54">
        <f t="shared" si="14"/>
        <v>8.2297320959551744E-3</v>
      </c>
      <c r="O34" s="18">
        <f>13+21+18+4</f>
        <v>56</v>
      </c>
      <c r="P34" s="20">
        <v>60</v>
      </c>
      <c r="Q34" s="20">
        <f>65+7</f>
        <v>72</v>
      </c>
      <c r="R34" s="20">
        <f>66+13</f>
        <v>79</v>
      </c>
      <c r="S34" s="20">
        <v>74</v>
      </c>
      <c r="T34" s="20">
        <f>32+8</f>
        <v>40</v>
      </c>
      <c r="U34" s="1">
        <f>56+7</f>
        <v>63</v>
      </c>
      <c r="V34" s="1">
        <f>5802-3</f>
        <v>5799</v>
      </c>
      <c r="W34" s="20">
        <v>45</v>
      </c>
      <c r="X34" s="1">
        <v>5713</v>
      </c>
      <c r="Y34" s="1">
        <v>37</v>
      </c>
      <c r="Z34" s="20">
        <v>5603</v>
      </c>
      <c r="AA34" s="1">
        <v>39</v>
      </c>
      <c r="AB34" s="1">
        <v>5538</v>
      </c>
      <c r="AC34" s="1">
        <v>44</v>
      </c>
      <c r="AD34" s="1">
        <v>5170</v>
      </c>
      <c r="AE34" s="20">
        <v>46</v>
      </c>
      <c r="AF34" s="20">
        <v>5407</v>
      </c>
      <c r="AG34" s="70">
        <v>47</v>
      </c>
      <c r="AH34" s="41">
        <v>5711</v>
      </c>
    </row>
    <row r="35" spans="1:34" ht="12.75" customHeight="1">
      <c r="A35" s="19" t="s">
        <v>34</v>
      </c>
      <c r="B35" s="8">
        <v>1.5832263585793753E-2</v>
      </c>
      <c r="C35" s="9">
        <v>1.5384615384615385E-2</v>
      </c>
      <c r="D35" s="9">
        <v>1.4691284494738933E-2</v>
      </c>
      <c r="E35" s="9">
        <v>1.260835303388495E-2</v>
      </c>
      <c r="F35" s="9">
        <v>1.4355874574990555E-2</v>
      </c>
      <c r="G35" s="9">
        <v>1.5306122448979591E-2</v>
      </c>
      <c r="H35" s="9">
        <f t="shared" si="10"/>
        <v>6.6143034311699047E-3</v>
      </c>
      <c r="I35" s="9">
        <f t="shared" si="11"/>
        <v>6.1104087652760217E-3</v>
      </c>
      <c r="J35" s="9">
        <f t="shared" si="12"/>
        <v>6.7234424025100848E-3</v>
      </c>
      <c r="K35" s="9">
        <f t="shared" si="13"/>
        <v>7.8882127563669139E-3</v>
      </c>
      <c r="L35" s="9">
        <f t="shared" si="15"/>
        <v>6.5283282816507348E-3</v>
      </c>
      <c r="M35" s="9">
        <f t="shared" si="16"/>
        <v>7.4024226110363392E-3</v>
      </c>
      <c r="N35" s="54">
        <f t="shared" si="14"/>
        <v>8.1749889527176316E-3</v>
      </c>
      <c r="O35" s="18">
        <f>8+25+2+2</f>
        <v>37</v>
      </c>
      <c r="P35" s="20">
        <f>57+15</f>
        <v>72</v>
      </c>
      <c r="Q35" s="20">
        <f>63+11</f>
        <v>74</v>
      </c>
      <c r="R35" s="20">
        <f>47+17</f>
        <v>64</v>
      </c>
      <c r="S35" s="20">
        <f>64+12</f>
        <v>76</v>
      </c>
      <c r="T35" s="20">
        <f>63+12</f>
        <v>75</v>
      </c>
      <c r="U35" s="1">
        <f>26+6</f>
        <v>32</v>
      </c>
      <c r="V35" s="1">
        <v>4838</v>
      </c>
      <c r="W35" s="20">
        <v>29</v>
      </c>
      <c r="X35" s="1">
        <v>4746</v>
      </c>
      <c r="Y35" s="1">
        <v>30</v>
      </c>
      <c r="Z35" s="20">
        <v>4462</v>
      </c>
      <c r="AA35" s="1">
        <v>35</v>
      </c>
      <c r="AB35" s="1">
        <v>4437</v>
      </c>
      <c r="AC35" s="1">
        <v>28</v>
      </c>
      <c r="AD35" s="1">
        <v>4289</v>
      </c>
      <c r="AE35" s="20">
        <v>33</v>
      </c>
      <c r="AF35" s="20">
        <v>4458</v>
      </c>
      <c r="AG35" s="70">
        <v>37</v>
      </c>
      <c r="AH35" s="41">
        <v>4526</v>
      </c>
    </row>
    <row r="36" spans="1:34" ht="12.75" customHeight="1">
      <c r="A36" s="19" t="s">
        <v>35</v>
      </c>
      <c r="B36" s="8">
        <v>7.6208530805687208E-2</v>
      </c>
      <c r="C36" s="9">
        <v>7.2170169663205871E-2</v>
      </c>
      <c r="D36" s="9">
        <v>7.7864293659621803E-2</v>
      </c>
      <c r="E36" s="9">
        <v>7.5286415711947621E-2</v>
      </c>
      <c r="F36" s="9">
        <v>7.2148419606046718E-2</v>
      </c>
      <c r="G36" s="9">
        <v>7.3939393939393944E-2</v>
      </c>
      <c r="H36" s="9">
        <f t="shared" si="10"/>
        <v>6.161457162131774E-2</v>
      </c>
      <c r="I36" s="9">
        <f t="shared" si="11"/>
        <v>3.0489142355779777E-2</v>
      </c>
      <c r="J36" s="9">
        <f t="shared" si="12"/>
        <v>3.3367875647668396E-2</v>
      </c>
      <c r="K36" s="9">
        <f t="shared" si="13"/>
        <v>2.8702163061564059E-2</v>
      </c>
      <c r="L36" s="9">
        <f t="shared" si="15"/>
        <v>2.8321976149914822E-2</v>
      </c>
      <c r="M36" s="9">
        <f t="shared" si="16"/>
        <v>2.7697762020828718E-2</v>
      </c>
      <c r="N36" s="54">
        <f t="shared" si="14"/>
        <v>3.2392410920869967E-2</v>
      </c>
      <c r="O36" s="18">
        <f>60+118+191+33</f>
        <v>402</v>
      </c>
      <c r="P36" s="20">
        <f>134+151</f>
        <v>285</v>
      </c>
      <c r="Q36" s="20">
        <f>132+218</f>
        <v>350</v>
      </c>
      <c r="R36" s="20">
        <f>118+204</f>
        <v>322</v>
      </c>
      <c r="S36" s="20">
        <f>109+206</f>
        <v>315</v>
      </c>
      <c r="T36" s="20">
        <f>119+186</f>
        <v>305</v>
      </c>
      <c r="U36" s="1">
        <f>122+152</f>
        <v>274</v>
      </c>
      <c r="V36" s="1">
        <f>4526-79</f>
        <v>4447</v>
      </c>
      <c r="W36" s="20">
        <v>139</v>
      </c>
      <c r="X36" s="1">
        <v>4559</v>
      </c>
      <c r="Y36" s="1">
        <v>161</v>
      </c>
      <c r="Z36" s="20">
        <v>4825</v>
      </c>
      <c r="AA36" s="1">
        <v>138</v>
      </c>
      <c r="AB36" s="1">
        <v>4808</v>
      </c>
      <c r="AC36" s="1">
        <v>133</v>
      </c>
      <c r="AD36" s="1">
        <v>4696</v>
      </c>
      <c r="AE36" s="20">
        <v>125</v>
      </c>
      <c r="AF36" s="20">
        <v>4513</v>
      </c>
      <c r="AG36" s="70">
        <v>140</v>
      </c>
      <c r="AH36" s="41">
        <v>4322</v>
      </c>
    </row>
    <row r="37" spans="1:34" ht="12.75" hidden="1" customHeight="1">
      <c r="A37" s="19" t="s">
        <v>36</v>
      </c>
      <c r="B37" s="8">
        <v>5.4830287206266322E-2</v>
      </c>
      <c r="C37" s="11" t="s">
        <v>32</v>
      </c>
      <c r="D37" s="11" t="s">
        <v>32</v>
      </c>
      <c r="E37" s="11" t="s">
        <v>32</v>
      </c>
      <c r="F37" s="11" t="s">
        <v>32</v>
      </c>
      <c r="G37" s="11" t="s">
        <v>32</v>
      </c>
      <c r="H37" s="11" t="s">
        <v>32</v>
      </c>
      <c r="I37" s="11" t="s">
        <v>32</v>
      </c>
      <c r="J37" s="12" t="s">
        <v>32</v>
      </c>
      <c r="K37" s="12" t="s">
        <v>32</v>
      </c>
      <c r="L37" s="9" t="e">
        <f t="shared" si="15"/>
        <v>#DIV/0!</v>
      </c>
      <c r="M37" s="9" t="e">
        <f t="shared" si="16"/>
        <v>#DIV/0!</v>
      </c>
      <c r="N37" s="54" t="e">
        <f t="shared" si="14"/>
        <v>#DIV/0!</v>
      </c>
      <c r="O37" s="18">
        <v>21</v>
      </c>
      <c r="P37" s="27" t="s">
        <v>32</v>
      </c>
      <c r="Q37" s="27" t="s">
        <v>32</v>
      </c>
      <c r="R37" s="27" t="s">
        <v>32</v>
      </c>
      <c r="S37" s="27" t="s">
        <v>32</v>
      </c>
      <c r="T37" s="27" t="s">
        <v>32</v>
      </c>
      <c r="U37" s="27" t="s">
        <v>32</v>
      </c>
      <c r="V37" s="27" t="s">
        <v>32</v>
      </c>
      <c r="W37" s="27" t="s">
        <v>32</v>
      </c>
      <c r="X37" s="27" t="s">
        <v>32</v>
      </c>
      <c r="Y37" s="27" t="s">
        <v>32</v>
      </c>
      <c r="AA37" s="27" t="s">
        <v>32</v>
      </c>
      <c r="AG37" s="67"/>
      <c r="AH37" s="40"/>
    </row>
    <row r="38" spans="1:34" ht="12.75" customHeight="1">
      <c r="A38" s="1" t="s">
        <v>37</v>
      </c>
      <c r="B38" s="8">
        <v>3.4458993797381117E-3</v>
      </c>
      <c r="C38" s="9">
        <v>1.0518114530580444E-2</v>
      </c>
      <c r="D38" s="9">
        <v>9.3059325319891431E-3</v>
      </c>
      <c r="E38" s="9">
        <v>8.9078233927188232E-3</v>
      </c>
      <c r="F38" s="9">
        <v>8.142116950407105E-3</v>
      </c>
      <c r="G38" s="9">
        <v>9.6120837624442158E-3</v>
      </c>
      <c r="H38" s="9">
        <f t="shared" ref="H38:H50" si="17">+U38/V38</f>
        <v>7.7594568380213386E-3</v>
      </c>
      <c r="I38" s="9">
        <f t="shared" ref="I38:I50" si="18">+W38/X38</f>
        <v>7.8071961982348944E-3</v>
      </c>
      <c r="J38" s="9">
        <f t="shared" ref="J38:J50" si="19">+Y38/Z38</f>
        <v>7.801418439716312E-3</v>
      </c>
      <c r="K38" s="9">
        <f t="shared" ref="K38:K50" si="20">+AA38/AB38</f>
        <v>9.2150170648464171E-3</v>
      </c>
      <c r="L38" s="9">
        <f t="shared" si="15"/>
        <v>1.1961722488038277E-2</v>
      </c>
      <c r="M38" s="9">
        <f t="shared" si="16"/>
        <v>1.1129296235679214E-2</v>
      </c>
      <c r="N38" s="54">
        <f t="shared" si="14"/>
        <v>1.4791987673343606E-2</v>
      </c>
      <c r="O38" s="18">
        <v>5</v>
      </c>
      <c r="P38" s="20">
        <v>27</v>
      </c>
      <c r="Q38" s="20">
        <f>18+6</f>
        <v>24</v>
      </c>
      <c r="R38" s="20">
        <v>23</v>
      </c>
      <c r="S38" s="20">
        <v>22</v>
      </c>
      <c r="T38" s="20">
        <f>24+4</f>
        <v>28</v>
      </c>
      <c r="U38" s="1">
        <v>24</v>
      </c>
      <c r="V38" s="1">
        <v>3093</v>
      </c>
      <c r="W38" s="20">
        <v>23</v>
      </c>
      <c r="X38" s="1">
        <v>2946</v>
      </c>
      <c r="Y38" s="1">
        <v>22</v>
      </c>
      <c r="Z38" s="20">
        <v>2820</v>
      </c>
      <c r="AA38" s="1">
        <v>27</v>
      </c>
      <c r="AB38" s="1">
        <v>2930</v>
      </c>
      <c r="AC38" s="1">
        <v>35</v>
      </c>
      <c r="AD38" s="1">
        <v>2926</v>
      </c>
      <c r="AE38" s="20">
        <v>34</v>
      </c>
      <c r="AF38" s="20">
        <v>3055</v>
      </c>
      <c r="AG38" s="70">
        <v>48</v>
      </c>
      <c r="AH38" s="41">
        <v>3245</v>
      </c>
    </row>
    <row r="39" spans="1:34" ht="12.75" customHeight="1">
      <c r="A39" s="1" t="s">
        <v>38</v>
      </c>
      <c r="B39" s="8">
        <v>2.7579162410623085E-2</v>
      </c>
      <c r="C39" s="9">
        <v>2.1632251720747297E-2</v>
      </c>
      <c r="D39" s="9">
        <v>1.8785495849716033E-2</v>
      </c>
      <c r="E39" s="9">
        <v>1.9600307455803229E-2</v>
      </c>
      <c r="F39" s="9">
        <v>1.6057396651861976E-2</v>
      </c>
      <c r="G39" s="9">
        <v>1.7490027615833077E-2</v>
      </c>
      <c r="H39" s="9">
        <f t="shared" si="17"/>
        <v>1.8559556786703599E-2</v>
      </c>
      <c r="I39" s="9">
        <f t="shared" si="18"/>
        <v>0</v>
      </c>
      <c r="J39" s="9">
        <f t="shared" si="19"/>
        <v>1.6847826086956522E-2</v>
      </c>
      <c r="K39" s="9">
        <f t="shared" si="20"/>
        <v>0</v>
      </c>
      <c r="L39" s="9">
        <f t="shared" si="15"/>
        <v>0</v>
      </c>
      <c r="M39" s="9">
        <f t="shared" si="16"/>
        <v>0</v>
      </c>
      <c r="N39" s="54">
        <f t="shared" si="14"/>
        <v>0</v>
      </c>
      <c r="O39" s="18">
        <f>17+10</f>
        <v>27</v>
      </c>
      <c r="P39" s="20">
        <f>22+22</f>
        <v>44</v>
      </c>
      <c r="Q39" s="20">
        <f>25+18</f>
        <v>43</v>
      </c>
      <c r="R39" s="20">
        <f>34+17</f>
        <v>51</v>
      </c>
      <c r="S39" s="20">
        <f>36+11</f>
        <v>47</v>
      </c>
      <c r="T39" s="20">
        <f>44+13</f>
        <v>57</v>
      </c>
      <c r="U39" s="1">
        <v>67</v>
      </c>
      <c r="V39" s="1">
        <v>3610</v>
      </c>
      <c r="W39" s="20">
        <v>0</v>
      </c>
      <c r="X39" s="1">
        <f>3588-70</f>
        <v>3518</v>
      </c>
      <c r="Y39" s="1">
        <f>43+19</f>
        <v>62</v>
      </c>
      <c r="Z39" s="20">
        <f>3695-15</f>
        <v>3680</v>
      </c>
      <c r="AA39" s="1">
        <v>0</v>
      </c>
      <c r="AB39" s="1">
        <f>3916-78</f>
        <v>3838</v>
      </c>
      <c r="AC39" s="1">
        <v>0</v>
      </c>
      <c r="AD39" s="1">
        <v>3618</v>
      </c>
      <c r="AE39" s="20">
        <v>0</v>
      </c>
      <c r="AF39" s="20">
        <v>3876</v>
      </c>
      <c r="AG39" s="70">
        <v>0</v>
      </c>
      <c r="AH39" s="41">
        <v>3971</v>
      </c>
    </row>
    <row r="40" spans="1:34" ht="12.75" customHeight="1">
      <c r="A40" s="19" t="s">
        <v>95</v>
      </c>
      <c r="B40" s="8">
        <v>4.3809523809523812E-2</v>
      </c>
      <c r="C40" s="9">
        <v>3.2575757575757577E-2</v>
      </c>
      <c r="D40" s="9">
        <v>3.2140248356464569E-2</v>
      </c>
      <c r="E40" s="9">
        <v>3.6506800286327842E-2</v>
      </c>
      <c r="F40" s="9">
        <v>3.6745406824146981E-2</v>
      </c>
      <c r="G40" s="9">
        <v>3.4482758620689655E-2</v>
      </c>
      <c r="H40" s="9">
        <f t="shared" si="17"/>
        <v>4.4186046511627906E-2</v>
      </c>
      <c r="I40" s="9">
        <f t="shared" si="18"/>
        <v>2.4983984625240232E-2</v>
      </c>
      <c r="J40" s="9">
        <f t="shared" si="19"/>
        <v>2.7881040892193308E-2</v>
      </c>
      <c r="K40" s="9">
        <f t="shared" si="20"/>
        <v>3.8650306748466257E-2</v>
      </c>
      <c r="L40" s="9">
        <f t="shared" si="15"/>
        <v>4.7028086218158065E-2</v>
      </c>
      <c r="M40" s="9">
        <f t="shared" si="16"/>
        <v>3.5714285714285712E-2</v>
      </c>
      <c r="N40" s="54">
        <f t="shared" si="14"/>
        <v>5.0958904109589039E-2</v>
      </c>
      <c r="O40" s="18">
        <v>23</v>
      </c>
      <c r="P40" s="20">
        <v>43</v>
      </c>
      <c r="Q40" s="20">
        <v>44</v>
      </c>
      <c r="R40" s="20">
        <f>44+7</f>
        <v>51</v>
      </c>
      <c r="S40" s="20">
        <f>49+7</f>
        <v>56</v>
      </c>
      <c r="T40" s="20">
        <v>57</v>
      </c>
      <c r="U40" s="1">
        <f>64+12</f>
        <v>76</v>
      </c>
      <c r="V40" s="1">
        <v>1720</v>
      </c>
      <c r="W40" s="20">
        <v>39</v>
      </c>
      <c r="X40" s="1">
        <f>1699-138</f>
        <v>1561</v>
      </c>
      <c r="Y40" s="1">
        <v>45</v>
      </c>
      <c r="Z40" s="20">
        <f>1646-32</f>
        <v>1614</v>
      </c>
      <c r="AA40" s="1">
        <v>63</v>
      </c>
      <c r="AB40" s="1">
        <f>1675-45</f>
        <v>1630</v>
      </c>
      <c r="AC40" s="1">
        <v>72</v>
      </c>
      <c r="AD40" s="1">
        <v>1531</v>
      </c>
      <c r="AE40" s="20">
        <v>58</v>
      </c>
      <c r="AF40" s="20">
        <v>1624</v>
      </c>
      <c r="AG40" s="70">
        <v>93</v>
      </c>
      <c r="AH40" s="41">
        <v>1825</v>
      </c>
    </row>
    <row r="41" spans="1:34" ht="12.75" customHeight="1">
      <c r="A41" s="1" t="s">
        <v>39</v>
      </c>
      <c r="B41" s="8">
        <v>1.1194029850746268E-2</v>
      </c>
      <c r="C41" s="9">
        <v>1.1254019292604502E-2</v>
      </c>
      <c r="D41" s="9">
        <v>1.6E-2</v>
      </c>
      <c r="E41" s="9">
        <v>1.4404852160727824E-2</v>
      </c>
      <c r="F41" s="9">
        <v>1.0699001426533523E-2</v>
      </c>
      <c r="G41" s="9">
        <v>1.6332590942835932E-2</v>
      </c>
      <c r="H41" s="9">
        <f t="shared" si="17"/>
        <v>1.4603616133518776E-2</v>
      </c>
      <c r="I41" s="9">
        <f t="shared" si="18"/>
        <v>1.4037433155080214E-2</v>
      </c>
      <c r="J41" s="9">
        <f t="shared" si="19"/>
        <v>1.2802275960170697E-2</v>
      </c>
      <c r="K41" s="9">
        <f t="shared" si="20"/>
        <v>1.3412816691505217E-2</v>
      </c>
      <c r="L41" s="9">
        <f t="shared" si="15"/>
        <v>1.646090534979424E-2</v>
      </c>
      <c r="M41" s="9">
        <f t="shared" si="16"/>
        <v>1.2666666666666666E-2</v>
      </c>
      <c r="N41" s="54">
        <f t="shared" si="14"/>
        <v>1.5789473684210527E-2</v>
      </c>
      <c r="O41" s="18">
        <v>6</v>
      </c>
      <c r="P41" s="20">
        <f>7+5+2</f>
        <v>14</v>
      </c>
      <c r="Q41" s="20">
        <f>11+7+4</f>
        <v>22</v>
      </c>
      <c r="R41" s="20">
        <v>19</v>
      </c>
      <c r="S41" s="20">
        <v>15</v>
      </c>
      <c r="T41" s="20">
        <f>17+5</f>
        <v>22</v>
      </c>
      <c r="U41" s="1">
        <v>21</v>
      </c>
      <c r="V41" s="1">
        <v>1438</v>
      </c>
      <c r="W41" s="20">
        <f>12+7+2</f>
        <v>21</v>
      </c>
      <c r="X41" s="1">
        <v>1496</v>
      </c>
      <c r="Y41" s="1">
        <f>11+6+1</f>
        <v>18</v>
      </c>
      <c r="Z41" s="20">
        <v>1406</v>
      </c>
      <c r="AA41" s="1">
        <v>18</v>
      </c>
      <c r="AB41" s="1">
        <v>1342</v>
      </c>
      <c r="AC41" s="1">
        <v>24</v>
      </c>
      <c r="AD41" s="1">
        <v>1458</v>
      </c>
      <c r="AE41" s="20">
        <v>19</v>
      </c>
      <c r="AF41" s="20">
        <v>1500</v>
      </c>
      <c r="AG41" s="70">
        <v>24</v>
      </c>
      <c r="AH41" s="41">
        <v>1520</v>
      </c>
    </row>
    <row r="42" spans="1:34" ht="12.75" customHeight="1">
      <c r="A42" s="1" t="s">
        <v>40</v>
      </c>
      <c r="B42" s="43" t="s">
        <v>32</v>
      </c>
      <c r="C42" s="9">
        <v>3.0829268292682926E-2</v>
      </c>
      <c r="D42" s="9">
        <v>3.5734436712431823E-2</v>
      </c>
      <c r="E42" s="9">
        <v>3.630530226274907E-2</v>
      </c>
      <c r="F42" s="9">
        <v>1.119520655944497E-2</v>
      </c>
      <c r="G42" s="9">
        <v>1.5849953770968168E-2</v>
      </c>
      <c r="H42" s="9">
        <f t="shared" si="17"/>
        <v>2.2268700787401573E-2</v>
      </c>
      <c r="I42" s="9">
        <f t="shared" si="18"/>
        <v>3.0053034767236298E-2</v>
      </c>
      <c r="J42" s="9">
        <f t="shared" si="19"/>
        <v>3.3049518261259243E-2</v>
      </c>
      <c r="K42" s="9">
        <f t="shared" si="20"/>
        <v>3.0519688400384163E-2</v>
      </c>
      <c r="L42" s="9">
        <f t="shared" si="15"/>
        <v>3.3347141673570835E-2</v>
      </c>
      <c r="M42" s="9">
        <f t="shared" si="16"/>
        <v>2.140134857812958E-2</v>
      </c>
      <c r="N42" s="54">
        <f t="shared" si="14"/>
        <v>2.1424070573408949E-2</v>
      </c>
      <c r="O42" s="28" t="s">
        <v>32</v>
      </c>
      <c r="P42" s="20">
        <f>122+1+35</f>
        <v>158</v>
      </c>
      <c r="Q42" s="20">
        <f>149+41</f>
        <v>190</v>
      </c>
      <c r="R42" s="20">
        <f>159+56</f>
        <v>215</v>
      </c>
      <c r="S42" s="20">
        <f>62+9</f>
        <v>71</v>
      </c>
      <c r="T42" s="20">
        <f>94+26</f>
        <v>120</v>
      </c>
      <c r="U42" s="1">
        <f>160+21</f>
        <v>181</v>
      </c>
      <c r="V42" s="1">
        <v>8128</v>
      </c>
      <c r="W42" s="20">
        <f>225+1+29</f>
        <v>255</v>
      </c>
      <c r="X42" s="1">
        <v>8485</v>
      </c>
      <c r="Y42" s="1">
        <f>255+40</f>
        <v>295</v>
      </c>
      <c r="Z42" s="20">
        <v>8926</v>
      </c>
      <c r="AA42" s="1">
        <f>258+28</f>
        <v>286</v>
      </c>
      <c r="AB42" s="1">
        <f>9377-6</f>
        <v>9371</v>
      </c>
      <c r="AC42" s="1">
        <v>322</v>
      </c>
      <c r="AD42" s="1">
        <v>9656</v>
      </c>
      <c r="AE42" s="20">
        <v>219</v>
      </c>
      <c r="AF42" s="20">
        <v>10233</v>
      </c>
      <c r="AG42" s="70">
        <v>238</v>
      </c>
      <c r="AH42" s="41">
        <v>11109</v>
      </c>
    </row>
    <row r="43" spans="1:34" ht="12.75" customHeight="1">
      <c r="A43" s="19" t="s">
        <v>42</v>
      </c>
      <c r="B43" s="10" t="s">
        <v>32</v>
      </c>
      <c r="C43" s="9">
        <v>1.9821605550049553E-4</v>
      </c>
      <c r="D43" s="9">
        <v>7.3868882733148656E-4</v>
      </c>
      <c r="E43" s="9">
        <v>7.2398190045248867E-4</v>
      </c>
      <c r="F43" s="9">
        <v>0</v>
      </c>
      <c r="G43" s="9">
        <v>1.6223231667748214E-4</v>
      </c>
      <c r="H43" s="9">
        <f t="shared" si="17"/>
        <v>6.0532687651331722E-4</v>
      </c>
      <c r="I43" s="9">
        <f t="shared" si="18"/>
        <v>2.2404779686333084E-3</v>
      </c>
      <c r="J43" s="9">
        <f t="shared" si="19"/>
        <v>1.9205200177278771E-3</v>
      </c>
      <c r="K43" s="9">
        <f t="shared" si="20"/>
        <v>2.6212319790301442E-3</v>
      </c>
      <c r="L43" s="9">
        <f t="shared" si="15"/>
        <v>2.9222676797194622E-3</v>
      </c>
      <c r="M43" s="9">
        <f t="shared" si="16"/>
        <v>3.0289917784508871E-3</v>
      </c>
      <c r="N43" s="54">
        <f t="shared" si="14"/>
        <v>2.5906735751295338E-3</v>
      </c>
      <c r="O43" s="26" t="s">
        <v>32</v>
      </c>
      <c r="P43" s="20">
        <v>1</v>
      </c>
      <c r="Q43" s="20">
        <v>4</v>
      </c>
      <c r="R43" s="20">
        <v>4</v>
      </c>
      <c r="S43" s="20">
        <v>0</v>
      </c>
      <c r="T43" s="20">
        <v>1</v>
      </c>
      <c r="U43" s="1">
        <v>4</v>
      </c>
      <c r="V43" s="1">
        <v>6608</v>
      </c>
      <c r="W43" s="20">
        <v>15</v>
      </c>
      <c r="X43" s="1">
        <v>6695</v>
      </c>
      <c r="Y43" s="1">
        <v>13</v>
      </c>
      <c r="Z43" s="20">
        <f>6772-3</f>
        <v>6769</v>
      </c>
      <c r="AA43" s="1">
        <v>18</v>
      </c>
      <c r="AB43" s="1">
        <f>6870-3</f>
        <v>6867</v>
      </c>
      <c r="AC43" s="1">
        <v>20</v>
      </c>
      <c r="AD43" s="1">
        <v>6844</v>
      </c>
      <c r="AE43" s="20">
        <v>21</v>
      </c>
      <c r="AF43" s="20">
        <v>6933</v>
      </c>
      <c r="AG43" s="70">
        <v>19</v>
      </c>
      <c r="AH43" s="41">
        <v>7334</v>
      </c>
    </row>
    <row r="44" spans="1:34" ht="12.75" customHeight="1">
      <c r="A44" s="19" t="s">
        <v>43</v>
      </c>
      <c r="B44" s="8">
        <v>1.2416190712689347E-2</v>
      </c>
      <c r="C44" s="9">
        <v>3.8865248226950352E-2</v>
      </c>
      <c r="D44" s="9">
        <v>3.5388288161775035E-2</v>
      </c>
      <c r="E44" s="9">
        <v>3.7757274662881479E-2</v>
      </c>
      <c r="F44" s="9">
        <v>3.9162929745889384E-2</v>
      </c>
      <c r="G44" s="9">
        <v>3.0040439052570769E-2</v>
      </c>
      <c r="H44" s="9">
        <f t="shared" si="17"/>
        <v>2.6492793411118737E-2</v>
      </c>
      <c r="I44" s="9">
        <f t="shared" si="18"/>
        <v>2.8454645495991197E-2</v>
      </c>
      <c r="J44" s="9">
        <f t="shared" si="19"/>
        <v>2.8878017989584979E-2</v>
      </c>
      <c r="K44" s="9">
        <f t="shared" si="20"/>
        <v>2.1203718806067525E-2</v>
      </c>
      <c r="L44" s="9">
        <f t="shared" si="15"/>
        <v>2.4867995230795435E-2</v>
      </c>
      <c r="M44" s="9">
        <f t="shared" si="16"/>
        <v>2.8164506321011362E-2</v>
      </c>
      <c r="N44" s="54">
        <f t="shared" si="14"/>
        <v>2.5625287709068589E-2</v>
      </c>
      <c r="O44" s="18">
        <f>36+94+11+9</f>
        <v>150</v>
      </c>
      <c r="P44" s="20">
        <f>244+1+29</f>
        <v>274</v>
      </c>
      <c r="Q44" s="20">
        <f>219+33</f>
        <v>252</v>
      </c>
      <c r="R44" s="20">
        <f>235+31</f>
        <v>266</v>
      </c>
      <c r="S44" s="20">
        <f>224+38</f>
        <v>262</v>
      </c>
      <c r="T44" s="20">
        <f>147+61</f>
        <v>208</v>
      </c>
      <c r="U44" s="1">
        <f>138+55</f>
        <v>193</v>
      </c>
      <c r="V44" s="1">
        <f>7289-4</f>
        <v>7285</v>
      </c>
      <c r="W44" s="20">
        <f>181+0</f>
        <v>181</v>
      </c>
      <c r="X44" s="1">
        <f>7141-780</f>
        <v>6361</v>
      </c>
      <c r="Y44" s="1">
        <v>183</v>
      </c>
      <c r="Z44" s="20">
        <f>6793-456</f>
        <v>6337</v>
      </c>
      <c r="AA44" s="1">
        <v>130</v>
      </c>
      <c r="AB44" s="1">
        <f>6441-310</f>
        <v>6131</v>
      </c>
      <c r="AC44" s="1">
        <v>146</v>
      </c>
      <c r="AD44" s="1">
        <v>5871</v>
      </c>
      <c r="AE44" s="20">
        <v>176</v>
      </c>
      <c r="AF44" s="20">
        <v>6249</v>
      </c>
      <c r="AG44" s="70">
        <v>167</v>
      </c>
      <c r="AH44" s="41">
        <v>6517</v>
      </c>
    </row>
    <row r="45" spans="1:34" ht="12.75" customHeight="1">
      <c r="A45" s="19" t="s">
        <v>44</v>
      </c>
      <c r="B45" s="8">
        <v>3.370501773948302E-2</v>
      </c>
      <c r="C45" s="9">
        <v>7.0993246582111674E-2</v>
      </c>
      <c r="D45" s="9">
        <v>7.2219383409981269E-2</v>
      </c>
      <c r="E45" s="9">
        <v>7.296669248644462E-2</v>
      </c>
      <c r="F45" s="9">
        <v>7.335506816834618E-2</v>
      </c>
      <c r="G45" s="9">
        <v>5.598845598845599E-2</v>
      </c>
      <c r="H45" s="9">
        <f t="shared" si="17"/>
        <v>8.0021127690479338E-2</v>
      </c>
      <c r="I45" s="9">
        <f t="shared" si="18"/>
        <v>4.7634119322677637E-2</v>
      </c>
      <c r="J45" s="9">
        <f t="shared" si="19"/>
        <v>4.4366519286476599E-2</v>
      </c>
      <c r="K45" s="9">
        <f t="shared" si="20"/>
        <v>4.7002328288707797E-2</v>
      </c>
      <c r="L45" s="9">
        <f t="shared" si="15"/>
        <v>5.0714077528417369E-2</v>
      </c>
      <c r="M45" s="9">
        <f t="shared" si="16"/>
        <v>4.448447893569845E-2</v>
      </c>
      <c r="N45" s="54">
        <f t="shared" si="14"/>
        <v>3.9497557571528265E-2</v>
      </c>
      <c r="O45" s="18">
        <f>61+157+29+19</f>
        <v>266</v>
      </c>
      <c r="P45" s="20">
        <f>146+285</f>
        <v>431</v>
      </c>
      <c r="Q45" s="20">
        <f>271+1+152</f>
        <v>424</v>
      </c>
      <c r="R45" s="20">
        <f>334+2+135</f>
        <v>471</v>
      </c>
      <c r="S45" s="20">
        <f>358+137</f>
        <v>495</v>
      </c>
      <c r="T45" s="20">
        <f>212+176</f>
        <v>388</v>
      </c>
      <c r="U45" s="1">
        <f>247+359</f>
        <v>606</v>
      </c>
      <c r="V45" s="1">
        <f>7610-37</f>
        <v>7573</v>
      </c>
      <c r="W45" s="20">
        <f>289+2+10</f>
        <v>301</v>
      </c>
      <c r="X45" s="1">
        <f>7581-1262</f>
        <v>6319</v>
      </c>
      <c r="Y45" s="1">
        <f>278+13</f>
        <v>291</v>
      </c>
      <c r="Z45" s="20">
        <f>7206-647</f>
        <v>6559</v>
      </c>
      <c r="AA45" s="1">
        <f>317+6</f>
        <v>323</v>
      </c>
      <c r="AB45" s="1">
        <f>7276-404</f>
        <v>6872</v>
      </c>
      <c r="AC45" s="1">
        <v>348</v>
      </c>
      <c r="AD45" s="1">
        <v>6862</v>
      </c>
      <c r="AE45" s="20">
        <v>321</v>
      </c>
      <c r="AF45" s="20">
        <v>7216</v>
      </c>
      <c r="AG45" s="70">
        <v>283</v>
      </c>
      <c r="AH45" s="41">
        <v>7165</v>
      </c>
    </row>
    <row r="46" spans="1:34" ht="12.75" customHeight="1">
      <c r="A46" s="19" t="s">
        <v>45</v>
      </c>
      <c r="B46" s="8">
        <v>3.6282675022676673E-3</v>
      </c>
      <c r="C46" s="9">
        <v>4.0850189633375472E-2</v>
      </c>
      <c r="D46" s="9">
        <v>4.2318886179501296E-2</v>
      </c>
      <c r="E46" s="9">
        <v>4.4006642512077296E-2</v>
      </c>
      <c r="F46" s="9">
        <v>5.9354529477552327E-2</v>
      </c>
      <c r="G46" s="9">
        <v>3.2124268054651919E-2</v>
      </c>
      <c r="H46" s="9">
        <f t="shared" si="17"/>
        <v>4.4906378927324658E-2</v>
      </c>
      <c r="I46" s="9">
        <f t="shared" si="18"/>
        <v>1.8106925255299066E-2</v>
      </c>
      <c r="J46" s="9">
        <f t="shared" si="19"/>
        <v>1.7736412327684609E-2</v>
      </c>
      <c r="K46" s="9">
        <f t="shared" si="20"/>
        <v>1.8432761282121131E-2</v>
      </c>
      <c r="L46" s="9">
        <f t="shared" si="15"/>
        <v>1.9870117282155667E-2</v>
      </c>
      <c r="M46" s="9">
        <f t="shared" si="16"/>
        <v>1.9584686546599745E-2</v>
      </c>
      <c r="N46" s="54">
        <f t="shared" si="14"/>
        <v>2.2920952101087275E-2</v>
      </c>
      <c r="O46" s="18">
        <v>44</v>
      </c>
      <c r="P46" s="20">
        <f>358+159</f>
        <v>517</v>
      </c>
      <c r="Q46" s="20">
        <f>365+173</f>
        <v>538</v>
      </c>
      <c r="R46" s="20">
        <f>370+213</f>
        <v>583</v>
      </c>
      <c r="S46" s="20">
        <f>439+5+299</f>
        <v>743</v>
      </c>
      <c r="T46" s="20">
        <f>158+237</f>
        <v>395</v>
      </c>
      <c r="U46" s="1">
        <f>145+421</f>
        <v>566</v>
      </c>
      <c r="V46" s="1">
        <v>12604</v>
      </c>
      <c r="W46" s="20">
        <f>195+16</f>
        <v>211</v>
      </c>
      <c r="X46" s="1">
        <f>12733-1080</f>
        <v>11653</v>
      </c>
      <c r="Y46" s="1">
        <f>189+13</f>
        <v>202</v>
      </c>
      <c r="Z46" s="20">
        <f>12139-750</f>
        <v>11389</v>
      </c>
      <c r="AA46" s="1">
        <f>191+11+1</f>
        <v>203</v>
      </c>
      <c r="AB46" s="1">
        <f>11611-598</f>
        <v>11013</v>
      </c>
      <c r="AC46" s="1">
        <v>205</v>
      </c>
      <c r="AD46" s="1">
        <v>10317</v>
      </c>
      <c r="AE46" s="20">
        <v>199</v>
      </c>
      <c r="AF46" s="20">
        <v>10161</v>
      </c>
      <c r="AG46" s="70">
        <v>234</v>
      </c>
      <c r="AH46" s="41">
        <v>10209</v>
      </c>
    </row>
    <row r="47" spans="1:34" ht="12.75" customHeight="1">
      <c r="A47" s="19" t="s">
        <v>101</v>
      </c>
      <c r="B47" s="10" t="s">
        <v>32</v>
      </c>
      <c r="C47" s="11" t="s">
        <v>32</v>
      </c>
      <c r="D47" s="11" t="s">
        <v>32</v>
      </c>
      <c r="E47" s="11" t="s">
        <v>32</v>
      </c>
      <c r="F47" s="11" t="s">
        <v>32</v>
      </c>
      <c r="G47" s="11" t="s">
        <v>32</v>
      </c>
      <c r="H47" s="11" t="s">
        <v>32</v>
      </c>
      <c r="I47" s="11" t="s">
        <v>32</v>
      </c>
      <c r="J47" s="11" t="s">
        <v>32</v>
      </c>
      <c r="K47" s="11" t="s">
        <v>32</v>
      </c>
      <c r="L47" s="11" t="s">
        <v>32</v>
      </c>
      <c r="M47" s="9">
        <f t="shared" si="16"/>
        <v>9.8901098901098897E-3</v>
      </c>
      <c r="N47" s="54">
        <f t="shared" si="14"/>
        <v>4.11522633744856E-3</v>
      </c>
      <c r="O47" s="11" t="s">
        <v>32</v>
      </c>
      <c r="P47" s="11" t="s">
        <v>32</v>
      </c>
      <c r="Q47" s="11" t="s">
        <v>32</v>
      </c>
      <c r="R47" s="11" t="s">
        <v>32</v>
      </c>
      <c r="S47" s="11" t="s">
        <v>32</v>
      </c>
      <c r="T47" s="11" t="s">
        <v>32</v>
      </c>
      <c r="U47" s="11" t="s">
        <v>32</v>
      </c>
      <c r="V47" s="11" t="s">
        <v>32</v>
      </c>
      <c r="W47" s="11" t="s">
        <v>32</v>
      </c>
      <c r="X47" s="11" t="s">
        <v>32</v>
      </c>
      <c r="Y47" s="11" t="s">
        <v>32</v>
      </c>
      <c r="Z47" s="11" t="s">
        <v>32</v>
      </c>
      <c r="AA47" s="11" t="s">
        <v>32</v>
      </c>
      <c r="AB47" s="11" t="s">
        <v>32</v>
      </c>
      <c r="AC47" s="11" t="s">
        <v>32</v>
      </c>
      <c r="AD47" s="11"/>
      <c r="AE47" s="20">
        <v>9</v>
      </c>
      <c r="AF47" s="20">
        <v>910</v>
      </c>
      <c r="AG47" s="70">
        <v>5</v>
      </c>
      <c r="AH47" s="41">
        <v>1215</v>
      </c>
    </row>
    <row r="48" spans="1:34" ht="12.75" customHeight="1">
      <c r="A48" s="1" t="s">
        <v>41</v>
      </c>
      <c r="B48" s="8">
        <v>3.1486146095717885E-3</v>
      </c>
      <c r="C48" s="9">
        <v>4.5187528242205148E-3</v>
      </c>
      <c r="D48" s="9">
        <v>8.6655112651646445E-3</v>
      </c>
      <c r="E48" s="9">
        <v>1.5434314429289303E-2</v>
      </c>
      <c r="F48" s="9">
        <v>2.0043845912934545E-2</v>
      </c>
      <c r="G48" s="9">
        <v>2.5059665871121718E-2</v>
      </c>
      <c r="H48" s="9">
        <f t="shared" si="17"/>
        <v>2.4316109422492401E-2</v>
      </c>
      <c r="I48" s="9">
        <f t="shared" si="18"/>
        <v>1.3888888888888888E-2</v>
      </c>
      <c r="J48" s="9">
        <f t="shared" si="19"/>
        <v>1.7071569271175313E-2</v>
      </c>
      <c r="K48" s="9">
        <f t="shared" si="20"/>
        <v>9.9622122981793196E-3</v>
      </c>
      <c r="L48" s="9">
        <f t="shared" si="15"/>
        <v>1.9942103570279833E-2</v>
      </c>
      <c r="M48" s="9">
        <f t="shared" si="16"/>
        <v>6.4357952804167942E-3</v>
      </c>
      <c r="N48" s="54">
        <f t="shared" si="14"/>
        <v>9.1324200913242004E-3</v>
      </c>
      <c r="O48" s="18">
        <v>5</v>
      </c>
      <c r="P48" s="20">
        <v>10</v>
      </c>
      <c r="Q48" s="20">
        <v>20</v>
      </c>
      <c r="R48" s="20">
        <v>43</v>
      </c>
      <c r="S48" s="20">
        <f>31+33</f>
        <v>64</v>
      </c>
      <c r="T48" s="20">
        <f>42+42</f>
        <v>84</v>
      </c>
      <c r="U48" s="1">
        <v>80</v>
      </c>
      <c r="V48" s="1">
        <v>3290</v>
      </c>
      <c r="W48" s="20">
        <f>34+13</f>
        <v>47</v>
      </c>
      <c r="X48" s="1">
        <f>3391-7</f>
        <v>3384</v>
      </c>
      <c r="Y48" s="1">
        <f>45+7</f>
        <v>52</v>
      </c>
      <c r="Z48" s="20">
        <f>3062-16</f>
        <v>3046</v>
      </c>
      <c r="AA48" s="1">
        <v>29</v>
      </c>
      <c r="AB48" s="1">
        <f>2916-5</f>
        <v>2911</v>
      </c>
      <c r="AC48" s="1">
        <v>62</v>
      </c>
      <c r="AD48" s="1">
        <v>3109</v>
      </c>
      <c r="AE48" s="20">
        <v>21</v>
      </c>
      <c r="AF48" s="20">
        <v>3263</v>
      </c>
      <c r="AG48" s="70">
        <v>32</v>
      </c>
      <c r="AH48" s="41">
        <v>3504</v>
      </c>
    </row>
    <row r="49" spans="1:34" ht="12.75" customHeight="1">
      <c r="A49" s="1" t="s">
        <v>46</v>
      </c>
      <c r="B49" s="8">
        <v>1.1813759555246699E-2</v>
      </c>
      <c r="C49" s="9">
        <v>2.9021558872305141E-2</v>
      </c>
      <c r="D49" s="9">
        <v>2.4190064794816415E-2</v>
      </c>
      <c r="E49" s="9">
        <v>1.9170579029733958E-2</v>
      </c>
      <c r="F49" s="9">
        <v>1.9310867095797046E-2</v>
      </c>
      <c r="G49" s="9">
        <v>2.3826458036984351E-2</v>
      </c>
      <c r="H49" s="9">
        <f t="shared" si="17"/>
        <v>2.4656569214512151E-2</v>
      </c>
      <c r="I49" s="9">
        <f t="shared" si="18"/>
        <v>2.9878618113912233E-2</v>
      </c>
      <c r="J49" s="9">
        <f t="shared" si="19"/>
        <v>3.9413382218148489E-2</v>
      </c>
      <c r="K49" s="9">
        <f t="shared" si="20"/>
        <v>4.2248722316865418E-2</v>
      </c>
      <c r="L49" s="9">
        <f t="shared" si="15"/>
        <v>3.7049399198931909E-2</v>
      </c>
      <c r="M49" s="9">
        <f t="shared" si="16"/>
        <v>3.8932496075353221E-2</v>
      </c>
      <c r="N49" s="54">
        <f t="shared" si="14"/>
        <v>3.2444587214905236E-2</v>
      </c>
      <c r="O49" s="18">
        <v>17</v>
      </c>
      <c r="P49" s="20">
        <v>70</v>
      </c>
      <c r="Q49" s="20">
        <v>56</v>
      </c>
      <c r="R49" s="20">
        <v>49</v>
      </c>
      <c r="S49" s="20">
        <v>51</v>
      </c>
      <c r="T49" s="20">
        <f>62+5</f>
        <v>67</v>
      </c>
      <c r="U49" s="1">
        <v>70</v>
      </c>
      <c r="V49" s="1">
        <v>2839</v>
      </c>
      <c r="W49" s="20">
        <f>83+13</f>
        <v>96</v>
      </c>
      <c r="X49" s="1">
        <v>3213</v>
      </c>
      <c r="Y49" s="1">
        <f>113+16</f>
        <v>129</v>
      </c>
      <c r="Z49" s="20">
        <v>3273</v>
      </c>
      <c r="AA49" s="1">
        <f>111+13</f>
        <v>124</v>
      </c>
      <c r="AB49" s="1">
        <v>2935</v>
      </c>
      <c r="AC49" s="1">
        <v>111</v>
      </c>
      <c r="AD49" s="1">
        <v>2996</v>
      </c>
      <c r="AE49" s="20">
        <v>124</v>
      </c>
      <c r="AF49" s="20">
        <v>3185</v>
      </c>
      <c r="AG49" s="70">
        <v>101</v>
      </c>
      <c r="AH49" s="41">
        <v>3113</v>
      </c>
    </row>
    <row r="50" spans="1:34" ht="12.75" customHeight="1">
      <c r="A50" s="19" t="s">
        <v>24</v>
      </c>
      <c r="B50" s="8">
        <v>1.9651536153562719E-2</v>
      </c>
      <c r="C50" s="9">
        <v>2.890282809711783E-2</v>
      </c>
      <c r="D50" s="9">
        <v>2.9811549831081082E-2</v>
      </c>
      <c r="E50" s="9">
        <v>3.1055581923368009E-2</v>
      </c>
      <c r="F50" s="9">
        <v>3.0539368735068448E-2</v>
      </c>
      <c r="G50" s="9">
        <v>2.4064366695111545E-2</v>
      </c>
      <c r="H50" s="9">
        <f t="shared" si="17"/>
        <v>2.7965934308519909E-2</v>
      </c>
      <c r="I50" s="9">
        <f t="shared" si="18"/>
        <v>1.873976010236908E-2</v>
      </c>
      <c r="J50" s="9">
        <f t="shared" si="19"/>
        <v>2.0197930188521954E-2</v>
      </c>
      <c r="K50" s="9">
        <f t="shared" si="20"/>
        <v>1.9581276435312274E-2</v>
      </c>
      <c r="L50" s="9">
        <f t="shared" si="15"/>
        <v>2.1400616204513282E-2</v>
      </c>
      <c r="M50" s="9">
        <f t="shared" si="16"/>
        <v>1.8682310469314078E-2</v>
      </c>
      <c r="N50" s="54">
        <f t="shared" si="14"/>
        <v>1.9103592341245361E-2</v>
      </c>
      <c r="O50" s="18">
        <f t="shared" ref="O50:T50" si="21">SUM(O28:O49)</f>
        <v>1120</v>
      </c>
      <c r="P50" s="20">
        <f t="shared" si="21"/>
        <v>2138</v>
      </c>
      <c r="Q50" s="20">
        <f t="shared" si="21"/>
        <v>2259</v>
      </c>
      <c r="R50" s="20">
        <f t="shared" si="21"/>
        <v>2421</v>
      </c>
      <c r="S50" s="20">
        <f t="shared" si="21"/>
        <v>2416</v>
      </c>
      <c r="T50" s="20">
        <f t="shared" si="21"/>
        <v>1974</v>
      </c>
      <c r="U50" s="20">
        <f t="shared" ref="U50:Z50" si="22">SUM(U28:U49)</f>
        <v>2407</v>
      </c>
      <c r="V50" s="1">
        <f t="shared" si="22"/>
        <v>86069</v>
      </c>
      <c r="W50" s="20">
        <f t="shared" si="22"/>
        <v>1567</v>
      </c>
      <c r="X50" s="20">
        <f t="shared" si="22"/>
        <v>83619</v>
      </c>
      <c r="Y50" s="20">
        <f t="shared" si="22"/>
        <v>1696</v>
      </c>
      <c r="Z50" s="20">
        <f t="shared" si="22"/>
        <v>83969</v>
      </c>
      <c r="AA50" s="20">
        <f t="shared" ref="AA50:AG50" si="23">SUM(AA28:AA49)</f>
        <v>1662</v>
      </c>
      <c r="AB50" s="20">
        <f t="shared" si="23"/>
        <v>84877</v>
      </c>
      <c r="AC50" s="20">
        <f t="shared" si="23"/>
        <v>1799</v>
      </c>
      <c r="AD50" s="20">
        <f t="shared" si="23"/>
        <v>84063</v>
      </c>
      <c r="AE50" s="20">
        <f t="shared" si="23"/>
        <v>1656</v>
      </c>
      <c r="AF50" s="20">
        <f t="shared" si="23"/>
        <v>88640</v>
      </c>
      <c r="AG50" s="70">
        <f t="shared" si="23"/>
        <v>1765</v>
      </c>
      <c r="AH50" s="41">
        <f t="shared" ref="AH50" si="24">SUM(AH28:AH49)</f>
        <v>92391</v>
      </c>
    </row>
    <row r="51" spans="1:34" ht="12.75" customHeight="1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54"/>
      <c r="O51" s="18"/>
      <c r="P51" s="20"/>
      <c r="Q51" s="20"/>
      <c r="R51" s="20"/>
      <c r="S51" s="20"/>
      <c r="T51" s="20"/>
      <c r="AG51" s="67"/>
      <c r="AH51" s="40"/>
    </row>
    <row r="52" spans="1:34" ht="12.75" customHeight="1" thickBot="1">
      <c r="A52" s="59" t="s">
        <v>47</v>
      </c>
      <c r="B52" s="13">
        <v>8.3114295265500363E-2</v>
      </c>
      <c r="C52" s="60">
        <v>9.6794796671744995E-2</v>
      </c>
      <c r="D52" s="60">
        <v>9.6851156036052655E-2</v>
      </c>
      <c r="E52" s="60">
        <v>9.743499906758063E-2</v>
      </c>
      <c r="F52" s="60">
        <v>9.7403750138688558E-2</v>
      </c>
      <c r="G52" s="60">
        <v>9.365427646585997E-2</v>
      </c>
      <c r="H52" s="60">
        <f>+U52/V52</f>
        <v>9.5279091620164527E-2</v>
      </c>
      <c r="I52" s="60">
        <f>+W52/X52</f>
        <v>9.0812358014247793E-2</v>
      </c>
      <c r="J52" s="60">
        <f>+Y52/Z52</f>
        <v>9.038584183673469E-2</v>
      </c>
      <c r="K52" s="60">
        <f>+AA52/AB52</f>
        <v>9.0880511382987084E-2</v>
      </c>
      <c r="L52" s="60">
        <f t="shared" si="15"/>
        <v>9.4915607418212131E-2</v>
      </c>
      <c r="M52" s="60">
        <f t="shared" si="16"/>
        <v>9.2835313745197781E-2</v>
      </c>
      <c r="N52" s="56">
        <f>AG52/AH52</f>
        <v>0.12305724336424688</v>
      </c>
      <c r="O52" s="61">
        <f t="shared" ref="O52:T52" si="25">SUM(O50+O24)</f>
        <v>12680</v>
      </c>
      <c r="P52" s="62">
        <f t="shared" si="25"/>
        <v>16519</v>
      </c>
      <c r="Q52" s="62">
        <f t="shared" si="25"/>
        <v>16806</v>
      </c>
      <c r="R52" s="62">
        <f t="shared" si="25"/>
        <v>17242</v>
      </c>
      <c r="S52" s="62">
        <f t="shared" si="25"/>
        <v>17558</v>
      </c>
      <c r="T52" s="62">
        <f t="shared" si="25"/>
        <v>17244</v>
      </c>
      <c r="U52" s="62">
        <f t="shared" ref="U52:Z52" si="26">SUM(U50+U24)</f>
        <v>18150</v>
      </c>
      <c r="V52" s="59">
        <f t="shared" si="26"/>
        <v>190493</v>
      </c>
      <c r="W52" s="62">
        <f t="shared" si="26"/>
        <v>17069</v>
      </c>
      <c r="X52" s="62">
        <f t="shared" si="26"/>
        <v>187959</v>
      </c>
      <c r="Y52" s="62">
        <f t="shared" si="26"/>
        <v>17007</v>
      </c>
      <c r="Z52" s="62">
        <f t="shared" si="26"/>
        <v>188160</v>
      </c>
      <c r="AA52" s="62">
        <f t="shared" ref="AA52:AG52" si="27">SUM(AA50+AA24)</f>
        <v>17345</v>
      </c>
      <c r="AB52" s="62">
        <f t="shared" si="27"/>
        <v>190855</v>
      </c>
      <c r="AC52" s="62">
        <f t="shared" si="27"/>
        <v>18220</v>
      </c>
      <c r="AD52" s="62">
        <f t="shared" si="27"/>
        <v>191960</v>
      </c>
      <c r="AE52" s="62">
        <f t="shared" si="27"/>
        <v>18196</v>
      </c>
      <c r="AF52" s="62">
        <f t="shared" si="27"/>
        <v>196003</v>
      </c>
      <c r="AG52" s="71">
        <f t="shared" si="27"/>
        <v>25012</v>
      </c>
      <c r="AH52" s="58">
        <f t="shared" ref="AH52" si="28">SUM(AH50+AH24)</f>
        <v>203255</v>
      </c>
    </row>
    <row r="53" spans="1:34" ht="12.75" customHeight="1" thickTop="1">
      <c r="A53" s="1" t="s">
        <v>48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20"/>
      <c r="P53" s="20"/>
      <c r="Q53" s="20"/>
      <c r="R53" s="20"/>
      <c r="S53" s="20"/>
      <c r="T53" s="20"/>
    </row>
    <row r="54" spans="1:34" ht="12.75" customHeight="1">
      <c r="A54" s="19" t="s">
        <v>49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20"/>
      <c r="P54" s="20"/>
      <c r="Q54" s="20"/>
      <c r="R54" s="20"/>
      <c r="S54" s="20"/>
      <c r="T54" s="20"/>
    </row>
    <row r="55" spans="1:34" ht="12.75" customHeight="1">
      <c r="A55" s="19" t="s">
        <v>50</v>
      </c>
      <c r="P55" s="20"/>
      <c r="Q55" s="20"/>
      <c r="R55" s="20"/>
      <c r="S55" s="20"/>
      <c r="T55" s="20"/>
    </row>
    <row r="56" spans="1:34" ht="12.75" customHeight="1">
      <c r="A56" s="19" t="s">
        <v>93</v>
      </c>
      <c r="B56" s="14"/>
      <c r="P56" s="20"/>
      <c r="Q56" s="20"/>
      <c r="R56" s="20"/>
      <c r="S56" s="20"/>
      <c r="T56" s="20"/>
    </row>
    <row r="57" spans="1:34" ht="12.75" customHeight="1">
      <c r="A57" s="19"/>
      <c r="B57" s="14"/>
      <c r="P57" s="20"/>
      <c r="Q57" s="20"/>
      <c r="R57" s="20"/>
      <c r="S57" s="20"/>
      <c r="T57" s="20"/>
    </row>
    <row r="58" spans="1:34" ht="12.75" customHeight="1">
      <c r="A58" s="19" t="s">
        <v>92</v>
      </c>
      <c r="P58" s="20"/>
      <c r="Q58" s="20"/>
      <c r="R58" s="20"/>
      <c r="S58" s="20"/>
      <c r="T58" s="20"/>
    </row>
    <row r="59" spans="1:34" ht="12.75" customHeight="1">
      <c r="A59" s="19" t="s">
        <v>52</v>
      </c>
      <c r="P59" s="20"/>
      <c r="Q59" s="20"/>
      <c r="R59" s="20"/>
      <c r="S59" s="20"/>
      <c r="T59" s="20"/>
    </row>
    <row r="60" spans="1:34" ht="12.75" customHeight="1">
      <c r="A60" s="19" t="s">
        <v>106</v>
      </c>
      <c r="P60" s="20"/>
      <c r="Q60" s="20"/>
      <c r="R60" s="20"/>
      <c r="S60" s="20"/>
      <c r="T60" s="20"/>
    </row>
    <row r="61" spans="1:34" ht="12.75" customHeight="1" thickBo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1"/>
      <c r="Q61" s="61"/>
      <c r="R61" s="61"/>
      <c r="S61" s="61"/>
      <c r="T61" s="61"/>
      <c r="U61" s="59"/>
      <c r="V61" s="59"/>
      <c r="W61" s="62"/>
      <c r="X61" s="59"/>
      <c r="Y61" s="59"/>
      <c r="Z61" s="62"/>
      <c r="AA61" s="59"/>
      <c r="AB61" s="59"/>
      <c r="AC61" s="59"/>
      <c r="AD61" s="59"/>
      <c r="AE61" s="59"/>
      <c r="AF61" s="59"/>
      <c r="AG61" s="65"/>
      <c r="AH61" s="59"/>
    </row>
    <row r="62" spans="1:34" ht="12.75" customHeight="1" thickTop="1">
      <c r="A62" s="2"/>
      <c r="B62" s="36" t="s">
        <v>1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50"/>
      <c r="O62" s="3" t="s">
        <v>2</v>
      </c>
      <c r="P62" s="3"/>
      <c r="Q62" s="3"/>
      <c r="R62" s="3"/>
      <c r="S62" s="3"/>
      <c r="T62" s="3"/>
      <c r="U62" s="15"/>
      <c r="V62" s="15"/>
      <c r="W62" s="22"/>
      <c r="X62" s="15"/>
      <c r="Y62" s="15"/>
      <c r="Z62" s="22"/>
      <c r="AA62" s="15"/>
      <c r="AB62" s="15"/>
      <c r="AC62" s="15"/>
      <c r="AD62" s="15"/>
      <c r="AG62" s="66"/>
      <c r="AH62" s="40"/>
    </row>
    <row r="63" spans="1:34" ht="12.75" customHeight="1">
      <c r="A63" s="2"/>
      <c r="B63" s="36" t="s">
        <v>3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50"/>
      <c r="O63" s="3" t="s">
        <v>4</v>
      </c>
      <c r="P63" s="3"/>
      <c r="Q63" s="3"/>
      <c r="R63" s="3"/>
      <c r="S63" s="3"/>
      <c r="T63" s="3"/>
      <c r="U63" s="15"/>
      <c r="V63" s="15"/>
      <c r="W63" s="22"/>
      <c r="X63" s="15"/>
      <c r="Y63" s="15"/>
      <c r="Z63" s="22"/>
      <c r="AA63" s="15"/>
      <c r="AB63" s="15"/>
      <c r="AC63" s="15"/>
      <c r="AD63" s="15"/>
      <c r="AG63" s="67"/>
      <c r="AH63" s="40"/>
    </row>
    <row r="64" spans="1:34" ht="12.75" customHeight="1">
      <c r="A64" s="2"/>
      <c r="B64" s="38" t="s">
        <v>5</v>
      </c>
      <c r="C64" s="4" t="s">
        <v>5</v>
      </c>
      <c r="D64" s="4" t="s">
        <v>5</v>
      </c>
      <c r="E64" s="4" t="s">
        <v>5</v>
      </c>
      <c r="F64" s="4" t="s">
        <v>5</v>
      </c>
      <c r="G64" s="4" t="s">
        <v>5</v>
      </c>
      <c r="H64" s="4" t="s">
        <v>5</v>
      </c>
      <c r="I64" s="4" t="s">
        <v>5</v>
      </c>
      <c r="J64" s="4" t="s">
        <v>5</v>
      </c>
      <c r="K64" s="4" t="s">
        <v>94</v>
      </c>
      <c r="L64" s="4" t="s">
        <v>94</v>
      </c>
      <c r="M64" s="4" t="s">
        <v>94</v>
      </c>
      <c r="N64" s="51"/>
      <c r="O64" s="4" t="s">
        <v>5</v>
      </c>
      <c r="P64" s="16" t="s">
        <v>5</v>
      </c>
      <c r="Q64" s="16" t="s">
        <v>5</v>
      </c>
      <c r="R64" s="16" t="s">
        <v>5</v>
      </c>
      <c r="S64" s="16" t="s">
        <v>5</v>
      </c>
      <c r="T64" s="16" t="s">
        <v>5</v>
      </c>
      <c r="U64" s="16" t="s">
        <v>89</v>
      </c>
      <c r="V64" s="16" t="s">
        <v>89</v>
      </c>
      <c r="W64" s="4" t="s">
        <v>5</v>
      </c>
      <c r="Y64" s="4" t="s">
        <v>5</v>
      </c>
      <c r="AA64" s="16" t="s">
        <v>5</v>
      </c>
      <c r="AB64" s="16" t="s">
        <v>5</v>
      </c>
      <c r="AC64" s="16" t="s">
        <v>5</v>
      </c>
      <c r="AD64" s="16"/>
      <c r="AE64" s="16" t="s">
        <v>5</v>
      </c>
      <c r="AG64" s="67"/>
      <c r="AH64" s="39" t="s">
        <v>5</v>
      </c>
    </row>
    <row r="65" spans="1:34" ht="12.75" customHeight="1">
      <c r="A65" s="2"/>
      <c r="B65" s="38" t="s">
        <v>6</v>
      </c>
      <c r="C65" s="4" t="s">
        <v>7</v>
      </c>
      <c r="D65" s="5" t="s">
        <v>8</v>
      </c>
      <c r="E65" s="5" t="s">
        <v>9</v>
      </c>
      <c r="F65" s="5" t="s">
        <v>10</v>
      </c>
      <c r="G65" s="5" t="s">
        <v>11</v>
      </c>
      <c r="H65" s="5">
        <v>2002</v>
      </c>
      <c r="I65" s="5">
        <v>2003</v>
      </c>
      <c r="J65" s="5">
        <v>2004</v>
      </c>
      <c r="K65" s="5">
        <v>2005</v>
      </c>
      <c r="L65" s="5">
        <v>2006</v>
      </c>
      <c r="M65" s="5">
        <v>2007</v>
      </c>
      <c r="N65" s="52"/>
      <c r="O65" s="4" t="s">
        <v>6</v>
      </c>
      <c r="P65" s="4" t="s">
        <v>7</v>
      </c>
      <c r="Q65" s="5" t="s">
        <v>8</v>
      </c>
      <c r="R65" s="5" t="s">
        <v>9</v>
      </c>
      <c r="S65" s="5">
        <v>2000</v>
      </c>
      <c r="T65" s="5">
        <v>2001</v>
      </c>
      <c r="U65" s="16">
        <v>2002</v>
      </c>
      <c r="V65" s="16">
        <v>2002</v>
      </c>
      <c r="W65" s="5">
        <v>2003</v>
      </c>
      <c r="Y65" s="5">
        <v>2004</v>
      </c>
      <c r="AA65" s="16">
        <v>2005</v>
      </c>
      <c r="AB65" s="16">
        <v>2006</v>
      </c>
      <c r="AC65" s="16">
        <v>2006</v>
      </c>
      <c r="AD65" s="16"/>
      <c r="AE65" s="16">
        <v>2007</v>
      </c>
      <c r="AG65" s="67"/>
      <c r="AH65" s="39">
        <v>2008</v>
      </c>
    </row>
    <row r="66" spans="1:34" ht="12.75" customHeight="1">
      <c r="A66" s="2"/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3"/>
      <c r="O66" s="2"/>
      <c r="P66" s="20"/>
      <c r="Q66" s="20"/>
      <c r="R66" s="20"/>
      <c r="S66" s="20"/>
      <c r="T66" s="20"/>
      <c r="AG66" s="67"/>
      <c r="AH66" s="40"/>
    </row>
    <row r="67" spans="1:34" ht="45.95" customHeight="1">
      <c r="A67" s="23" t="s">
        <v>53</v>
      </c>
      <c r="B67" s="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3"/>
      <c r="O67" s="2"/>
      <c r="P67" s="20"/>
      <c r="Q67" s="20"/>
      <c r="R67" s="20"/>
      <c r="S67" s="20"/>
      <c r="T67" s="20"/>
      <c r="AG67" s="67"/>
      <c r="AH67" s="40"/>
    </row>
    <row r="68" spans="1:34" ht="12.75" customHeight="1">
      <c r="A68" s="2"/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3"/>
      <c r="O68" s="2"/>
      <c r="P68" s="20"/>
      <c r="Q68" s="20"/>
      <c r="R68" s="20"/>
      <c r="S68" s="20"/>
      <c r="T68" s="20"/>
      <c r="AG68" s="67"/>
      <c r="AH68" s="40"/>
    </row>
    <row r="69" spans="1:34" ht="12.75" customHeight="1">
      <c r="A69" s="2" t="s">
        <v>54</v>
      </c>
      <c r="B69" s="8">
        <v>0.72484599589322385</v>
      </c>
      <c r="C69" s="9">
        <v>0.35492957746478876</v>
      </c>
      <c r="D69" s="9">
        <v>0.30914231856738927</v>
      </c>
      <c r="E69" s="9">
        <v>0.31515637530072171</v>
      </c>
      <c r="F69" s="9">
        <v>0.3232413178984862</v>
      </c>
      <c r="G69" s="9">
        <v>0.30040485829959512</v>
      </c>
      <c r="H69" s="9">
        <f>+U69/V69</f>
        <v>0.29288025889967639</v>
      </c>
      <c r="I69" s="9">
        <f t="shared" ref="I69:I78" si="29">+W69/X69</f>
        <v>0.34126984126984128</v>
      </c>
      <c r="J69" s="9">
        <f>+Y69/Z69</f>
        <v>0.5423728813559322</v>
      </c>
      <c r="K69" s="9">
        <f t="shared" ref="K69:K75" si="30">+AA69/AB69</f>
        <v>0.35502471169686983</v>
      </c>
      <c r="L69" s="9">
        <f>AC69/AD69</f>
        <v>0.33893805309734515</v>
      </c>
      <c r="M69" s="9">
        <f>AE69/AF69</f>
        <v>0.384070796460177</v>
      </c>
      <c r="N69" s="54">
        <f t="shared" ref="N69:N94" si="31">AG69/AH69</f>
        <v>0.37262984336356142</v>
      </c>
      <c r="O69" s="18">
        <v>706</v>
      </c>
      <c r="P69" s="20">
        <f>314+64</f>
        <v>378</v>
      </c>
      <c r="Q69" s="20">
        <f>275+1+52</f>
        <v>328</v>
      </c>
      <c r="R69" s="20">
        <f>341+52</f>
        <v>393</v>
      </c>
      <c r="S69" s="20">
        <f>304+59</f>
        <v>363</v>
      </c>
      <c r="T69" s="20">
        <f>301+70</f>
        <v>371</v>
      </c>
      <c r="U69" s="20">
        <f>308+54</f>
        <v>362</v>
      </c>
      <c r="V69" s="1">
        <v>1236</v>
      </c>
      <c r="W69" s="20">
        <f>366+64</f>
        <v>430</v>
      </c>
      <c r="X69" s="1">
        <v>1260</v>
      </c>
      <c r="Y69" s="20">
        <f>762+70</f>
        <v>832</v>
      </c>
      <c r="Z69" s="20">
        <f>1579-45</f>
        <v>1534</v>
      </c>
      <c r="AA69" s="1">
        <f>366+65</f>
        <v>431</v>
      </c>
      <c r="AB69" s="1">
        <v>1214</v>
      </c>
      <c r="AC69" s="20">
        <v>383</v>
      </c>
      <c r="AD69" s="20">
        <v>1130</v>
      </c>
      <c r="AE69" s="20">
        <v>434</v>
      </c>
      <c r="AF69" s="1">
        <v>1130</v>
      </c>
      <c r="AG69" s="67">
        <v>452</v>
      </c>
      <c r="AH69" s="41">
        <v>1213</v>
      </c>
    </row>
    <row r="70" spans="1:34" ht="12.75" hidden="1" customHeight="1">
      <c r="A70" s="2" t="s">
        <v>55</v>
      </c>
      <c r="B70" s="8">
        <v>0.76344086021505375</v>
      </c>
      <c r="C70" s="11" t="s">
        <v>32</v>
      </c>
      <c r="D70" s="11" t="s">
        <v>32</v>
      </c>
      <c r="E70" s="11" t="s">
        <v>32</v>
      </c>
      <c r="F70" s="11" t="s">
        <v>32</v>
      </c>
      <c r="G70" s="11" t="s">
        <v>32</v>
      </c>
      <c r="H70" s="11" t="s">
        <v>32</v>
      </c>
      <c r="I70" s="11" t="s">
        <v>32</v>
      </c>
      <c r="J70" s="11" t="s">
        <v>32</v>
      </c>
      <c r="K70" s="12" t="s">
        <v>32</v>
      </c>
      <c r="L70" s="9" t="e">
        <f t="shared" ref="L70:L94" si="32">AC70/AD70</f>
        <v>#DIV/0!</v>
      </c>
      <c r="M70" s="9" t="e">
        <f t="shared" ref="M70:M94" si="33">AE70/AF70</f>
        <v>#DIV/0!</v>
      </c>
      <c r="N70" s="54" t="e">
        <f t="shared" si="31"/>
        <v>#DIV/0!</v>
      </c>
      <c r="O70" s="18">
        <v>71</v>
      </c>
      <c r="P70" s="27" t="s">
        <v>32</v>
      </c>
      <c r="Q70" s="27" t="s">
        <v>32</v>
      </c>
      <c r="R70" s="27" t="s">
        <v>32</v>
      </c>
      <c r="S70" s="27" t="s">
        <v>32</v>
      </c>
      <c r="T70" s="27" t="s">
        <v>32</v>
      </c>
      <c r="U70" s="27" t="s">
        <v>32</v>
      </c>
      <c r="V70" s="27" t="s">
        <v>32</v>
      </c>
      <c r="W70" s="27" t="s">
        <v>32</v>
      </c>
      <c r="Y70" s="27" t="s">
        <v>32</v>
      </c>
      <c r="AA70" s="27" t="s">
        <v>32</v>
      </c>
      <c r="AC70" s="20"/>
      <c r="AD70" s="20"/>
      <c r="AE70" s="20"/>
      <c r="AG70" s="67"/>
      <c r="AH70" s="41"/>
    </row>
    <row r="71" spans="1:34" ht="12.75" customHeight="1">
      <c r="A71" s="2" t="s">
        <v>98</v>
      </c>
      <c r="B71" s="8">
        <v>0.12071535022354694</v>
      </c>
      <c r="C71" s="9">
        <v>6.9952305246422888E-2</v>
      </c>
      <c r="D71" s="9">
        <v>7.8669910786699104E-2</v>
      </c>
      <c r="E71" s="11" t="s">
        <v>30</v>
      </c>
      <c r="F71" s="9">
        <v>8.1266039349871685E-2</v>
      </c>
      <c r="G71" s="9">
        <v>7.2891072891072897E-2</v>
      </c>
      <c r="H71" s="9">
        <f t="shared" ref="H71:H88" si="34">+U71/V71</f>
        <v>9.9134539732494101E-2</v>
      </c>
      <c r="I71" s="9">
        <f t="shared" si="29"/>
        <v>5.0324675324675328E-2</v>
      </c>
      <c r="J71" s="9">
        <f t="shared" ref="J71:J82" si="35">+Y71/Z71</f>
        <v>4.5614035087719301E-2</v>
      </c>
      <c r="K71" s="9">
        <f t="shared" si="30"/>
        <v>3.3081625314635023E-2</v>
      </c>
      <c r="L71" s="9">
        <f t="shared" si="32"/>
        <v>0.10225921521997622</v>
      </c>
      <c r="M71" s="9">
        <f t="shared" si="33"/>
        <v>0.10171306209850108</v>
      </c>
      <c r="N71" s="54">
        <f t="shared" si="31"/>
        <v>0.11344137273593899</v>
      </c>
      <c r="O71" s="18">
        <v>81</v>
      </c>
      <c r="P71" s="20">
        <f>73+15</f>
        <v>88</v>
      </c>
      <c r="Q71" s="20">
        <f>85+12</f>
        <v>97</v>
      </c>
      <c r="R71" s="27" t="s">
        <v>30</v>
      </c>
      <c r="S71" s="27">
        <f>78+17</f>
        <v>95</v>
      </c>
      <c r="T71" s="27">
        <f>72+17</f>
        <v>89</v>
      </c>
      <c r="U71" s="20">
        <f>82+44</f>
        <v>126</v>
      </c>
      <c r="V71" s="1">
        <f>1287-16</f>
        <v>1271</v>
      </c>
      <c r="W71" s="20">
        <f>68+25</f>
        <v>93</v>
      </c>
      <c r="X71" s="1">
        <f>1883-35</f>
        <v>1848</v>
      </c>
      <c r="Y71" s="20">
        <f>71+20</f>
        <v>91</v>
      </c>
      <c r="Z71" s="20">
        <f>2026-31</f>
        <v>1995</v>
      </c>
      <c r="AA71" s="1">
        <v>92</v>
      </c>
      <c r="AB71" s="1">
        <f>2800-19</f>
        <v>2781</v>
      </c>
      <c r="AC71" s="20">
        <v>86</v>
      </c>
      <c r="AD71" s="20">
        <v>841</v>
      </c>
      <c r="AE71" s="20">
        <v>95</v>
      </c>
      <c r="AF71" s="1">
        <v>934</v>
      </c>
      <c r="AG71" s="67">
        <v>119</v>
      </c>
      <c r="AH71" s="41">
        <v>1049</v>
      </c>
    </row>
    <row r="72" spans="1:34" ht="12.75" customHeight="1">
      <c r="A72" s="2" t="s">
        <v>99</v>
      </c>
      <c r="B72" s="8" t="s">
        <v>30</v>
      </c>
      <c r="C72" s="9"/>
      <c r="D72" s="9"/>
      <c r="E72" s="11"/>
      <c r="F72" s="9"/>
      <c r="G72" s="9"/>
      <c r="H72" s="9" t="s">
        <v>30</v>
      </c>
      <c r="I72" s="9" t="s">
        <v>30</v>
      </c>
      <c r="J72" s="9" t="s">
        <v>30</v>
      </c>
      <c r="K72" s="9" t="s">
        <v>30</v>
      </c>
      <c r="L72" s="9">
        <f t="shared" si="32"/>
        <v>1.3686131386861315E-3</v>
      </c>
      <c r="M72" s="9">
        <f t="shared" si="33"/>
        <v>4.3459365493263801E-4</v>
      </c>
      <c r="N72" s="54">
        <f t="shared" si="31"/>
        <v>0</v>
      </c>
      <c r="O72" s="9" t="s">
        <v>30</v>
      </c>
      <c r="P72" s="9"/>
      <c r="Q72" s="9"/>
      <c r="R72" s="11"/>
      <c r="S72" s="9"/>
      <c r="T72" s="9"/>
      <c r="U72" s="9" t="s">
        <v>30</v>
      </c>
      <c r="V72" s="9" t="s">
        <v>30</v>
      </c>
      <c r="W72" s="9" t="s">
        <v>30</v>
      </c>
      <c r="X72" s="9" t="s">
        <v>30</v>
      </c>
      <c r="Y72" s="9" t="s">
        <v>30</v>
      </c>
      <c r="Z72" s="9" t="s">
        <v>30</v>
      </c>
      <c r="AA72" s="9" t="s">
        <v>30</v>
      </c>
      <c r="AC72" s="20">
        <v>3</v>
      </c>
      <c r="AD72" s="20">
        <v>2192</v>
      </c>
      <c r="AE72" s="20">
        <v>1</v>
      </c>
      <c r="AF72" s="1">
        <v>2301</v>
      </c>
      <c r="AG72" s="67">
        <v>0</v>
      </c>
      <c r="AH72" s="41">
        <v>2629</v>
      </c>
    </row>
    <row r="73" spans="1:34" ht="12.75" customHeight="1">
      <c r="A73" s="2" t="s">
        <v>56</v>
      </c>
      <c r="B73" s="8">
        <v>0.22691807542262679</v>
      </c>
      <c r="C73" s="9">
        <v>0.33398692810457514</v>
      </c>
      <c r="D73" s="9">
        <v>0.34962147281486577</v>
      </c>
      <c r="E73" s="9">
        <v>0.35467625899280575</v>
      </c>
      <c r="F73" s="9">
        <v>0.35951008645533139</v>
      </c>
      <c r="G73" s="9">
        <v>0.36528685548293394</v>
      </c>
      <c r="H73" s="9">
        <f t="shared" si="34"/>
        <v>0.34045922406967538</v>
      </c>
      <c r="I73" s="9">
        <f t="shared" si="29"/>
        <v>0.34627329192546585</v>
      </c>
      <c r="J73" s="9">
        <f t="shared" si="35"/>
        <v>0.36363636363636365</v>
      </c>
      <c r="K73" s="9">
        <f t="shared" si="30"/>
        <v>0.34733683420855216</v>
      </c>
      <c r="L73" s="9">
        <f t="shared" si="32"/>
        <v>0.35762081784386618</v>
      </c>
      <c r="M73" s="9">
        <f t="shared" si="33"/>
        <v>0.36131386861313869</v>
      </c>
      <c r="N73" s="54">
        <f t="shared" si="31"/>
        <v>0.32020802377414559</v>
      </c>
      <c r="O73" s="18">
        <v>349</v>
      </c>
      <c r="P73" s="20">
        <f>484+27</f>
        <v>511</v>
      </c>
      <c r="Q73" s="20">
        <f>473+35</f>
        <v>508</v>
      </c>
      <c r="R73" s="20">
        <f>449+17+27</f>
        <v>493</v>
      </c>
      <c r="S73" s="20">
        <f>444+2+53</f>
        <v>499</v>
      </c>
      <c r="T73" s="20">
        <f>453+1+49</f>
        <v>503</v>
      </c>
      <c r="U73" s="20">
        <f>416+14</f>
        <v>430</v>
      </c>
      <c r="V73" s="1">
        <f>1333-70</f>
        <v>1263</v>
      </c>
      <c r="W73" s="20">
        <f>429+17</f>
        <v>446</v>
      </c>
      <c r="X73" s="1">
        <f>1348-60</f>
        <v>1288</v>
      </c>
      <c r="Y73" s="20">
        <f>457+23</f>
        <v>480</v>
      </c>
      <c r="Z73" s="20">
        <f>1348-28</f>
        <v>1320</v>
      </c>
      <c r="AA73" s="1">
        <f>441+22</f>
        <v>463</v>
      </c>
      <c r="AB73" s="1">
        <v>1333</v>
      </c>
      <c r="AC73" s="20">
        <v>481</v>
      </c>
      <c r="AD73" s="20">
        <v>1345</v>
      </c>
      <c r="AE73" s="20">
        <v>495</v>
      </c>
      <c r="AF73" s="1">
        <v>1370</v>
      </c>
      <c r="AG73" s="67">
        <v>431</v>
      </c>
      <c r="AH73" s="41">
        <v>1346</v>
      </c>
    </row>
    <row r="74" spans="1:34" ht="12.75" customHeight="1">
      <c r="A74" s="2" t="s">
        <v>57</v>
      </c>
      <c r="B74" s="8">
        <v>0.5393258426966292</v>
      </c>
      <c r="C74" s="9">
        <v>0.381882289123949</v>
      </c>
      <c r="D74" s="9">
        <v>0.40090886139863668</v>
      </c>
      <c r="E74" s="9">
        <v>0.41179474087311718</v>
      </c>
      <c r="F74" s="9">
        <v>0.44839679358717432</v>
      </c>
      <c r="G74" s="9">
        <v>0.47547846889952156</v>
      </c>
      <c r="H74" s="9">
        <f t="shared" si="34"/>
        <v>0.48033126293995859</v>
      </c>
      <c r="I74" s="9">
        <f t="shared" si="29"/>
        <v>0.50708502024291502</v>
      </c>
      <c r="J74" s="9">
        <f t="shared" si="35"/>
        <v>0.51148186334239387</v>
      </c>
      <c r="K74" s="9">
        <f t="shared" si="30"/>
        <v>0.51564735336194567</v>
      </c>
      <c r="L74" s="9">
        <f t="shared" si="32"/>
        <v>0.52825119637310047</v>
      </c>
      <c r="M74" s="9">
        <f t="shared" si="33"/>
        <v>0.52697685441188091</v>
      </c>
      <c r="N74" s="54">
        <f t="shared" si="31"/>
        <v>0.51679797829641738</v>
      </c>
      <c r="O74" s="18">
        <v>1200</v>
      </c>
      <c r="P74" s="20">
        <f>2604+53+159</f>
        <v>2816</v>
      </c>
      <c r="Q74" s="20">
        <f>3027+99+50</f>
        <v>3176</v>
      </c>
      <c r="R74" s="20">
        <f>3152+36+38</f>
        <v>3226</v>
      </c>
      <c r="S74" s="20">
        <f>3268+267+45</f>
        <v>3580</v>
      </c>
      <c r="T74" s="20">
        <f>3735+85+155</f>
        <v>3975</v>
      </c>
      <c r="U74" s="20">
        <f>4031+66+79</f>
        <v>4176</v>
      </c>
      <c r="V74" s="1">
        <f>8737-43</f>
        <v>8694</v>
      </c>
      <c r="W74" s="20">
        <f>4775+71+164</f>
        <v>5010</v>
      </c>
      <c r="X74" s="1">
        <v>9880</v>
      </c>
      <c r="Y74" s="20">
        <f>5121+173+163</f>
        <v>5457</v>
      </c>
      <c r="Z74" s="20">
        <f>10707-38</f>
        <v>10669</v>
      </c>
      <c r="AA74" s="1">
        <f>5695+1+71</f>
        <v>5767</v>
      </c>
      <c r="AB74" s="1">
        <f>11466-282</f>
        <v>11184</v>
      </c>
      <c r="AC74" s="20">
        <v>6292</v>
      </c>
      <c r="AD74" s="20">
        <v>11911</v>
      </c>
      <c r="AE74" s="20">
        <v>6671</v>
      </c>
      <c r="AF74" s="1">
        <v>12659</v>
      </c>
      <c r="AG74" s="67">
        <v>6953</v>
      </c>
      <c r="AH74" s="41">
        <v>13454</v>
      </c>
    </row>
    <row r="75" spans="1:34" ht="12.75" customHeight="1">
      <c r="A75" s="2" t="s">
        <v>58</v>
      </c>
      <c r="B75" s="8">
        <v>0.53343701399688959</v>
      </c>
      <c r="C75" s="9">
        <v>0.46478873239436619</v>
      </c>
      <c r="D75" s="9">
        <v>0.43372216330858959</v>
      </c>
      <c r="E75" s="9">
        <v>0.43563218390804598</v>
      </c>
      <c r="F75" s="9">
        <v>0.42387332521315468</v>
      </c>
      <c r="G75" s="9">
        <v>0.47015834348355662</v>
      </c>
      <c r="H75" s="9">
        <f t="shared" si="34"/>
        <v>0.45410628019323673</v>
      </c>
      <c r="I75" s="9">
        <f t="shared" si="29"/>
        <v>0.45149700598802395</v>
      </c>
      <c r="J75" s="9">
        <f t="shared" si="35"/>
        <v>0.4432748538011696</v>
      </c>
      <c r="K75" s="9">
        <f t="shared" si="30"/>
        <v>0.44047619047619047</v>
      </c>
      <c r="L75" s="9">
        <f t="shared" si="32"/>
        <v>0.47525891829689298</v>
      </c>
      <c r="M75" s="9">
        <f t="shared" si="33"/>
        <v>0.4546525323910483</v>
      </c>
      <c r="N75" s="54">
        <f t="shared" si="31"/>
        <v>0.47654320987654319</v>
      </c>
      <c r="O75" s="18">
        <v>343</v>
      </c>
      <c r="P75" s="20">
        <f>454+8</f>
        <v>462</v>
      </c>
      <c r="Q75" s="20">
        <f>398+11</f>
        <v>409</v>
      </c>
      <c r="R75" s="20">
        <f>361+18</f>
        <v>379</v>
      </c>
      <c r="S75" s="20">
        <f>336+12</f>
        <v>348</v>
      </c>
      <c r="T75" s="20">
        <f>374+12</f>
        <v>386</v>
      </c>
      <c r="U75" s="20">
        <f>367+9</f>
        <v>376</v>
      </c>
      <c r="V75" s="1">
        <v>828</v>
      </c>
      <c r="W75" s="20">
        <f>369+1+7</f>
        <v>377</v>
      </c>
      <c r="X75" s="1">
        <v>835</v>
      </c>
      <c r="Y75" s="20">
        <f>371+8</f>
        <v>379</v>
      </c>
      <c r="Z75" s="20">
        <v>855</v>
      </c>
      <c r="AA75" s="1">
        <f>363+1+6</f>
        <v>370</v>
      </c>
      <c r="AB75" s="1">
        <v>840</v>
      </c>
      <c r="AC75" s="20">
        <v>413</v>
      </c>
      <c r="AD75" s="20">
        <v>869</v>
      </c>
      <c r="AE75" s="20">
        <v>386</v>
      </c>
      <c r="AF75" s="1">
        <v>849</v>
      </c>
      <c r="AG75" s="67">
        <v>386</v>
      </c>
      <c r="AH75" s="41">
        <v>810</v>
      </c>
    </row>
    <row r="76" spans="1:34" ht="12.75" customHeight="1">
      <c r="A76" s="2" t="s">
        <v>59</v>
      </c>
      <c r="B76" s="8">
        <v>5.5737704918032788E-2</v>
      </c>
      <c r="C76" s="9">
        <v>9.0154550658271326E-2</v>
      </c>
      <c r="D76" s="9">
        <v>8.7066069428891377E-2</v>
      </c>
      <c r="E76" s="9">
        <v>0.11910499139414803</v>
      </c>
      <c r="F76" s="9">
        <v>0.10461386627189737</v>
      </c>
      <c r="G76" s="9">
        <v>0.10776302349336057</v>
      </c>
      <c r="H76" s="9">
        <f t="shared" si="34"/>
        <v>0.10487982520029134</v>
      </c>
      <c r="I76" s="9">
        <f t="shared" si="29"/>
        <v>0.10504905479779851</v>
      </c>
      <c r="J76" s="9">
        <f t="shared" si="35"/>
        <v>8.1001805054151624E-2</v>
      </c>
      <c r="K76" s="9">
        <f t="shared" ref="K76:K91" si="36">+AA76/AB76</f>
        <v>8.6640211640211642E-2</v>
      </c>
      <c r="L76" s="9">
        <f t="shared" si="32"/>
        <v>9.8790322580645157E-2</v>
      </c>
      <c r="M76" s="9">
        <f t="shared" si="33"/>
        <v>0.10667553781326236</v>
      </c>
      <c r="N76" s="54">
        <f t="shared" si="31"/>
        <v>0.10719688783228874</v>
      </c>
      <c r="O76" s="18">
        <f>107+21+8</f>
        <v>136</v>
      </c>
      <c r="P76" s="20">
        <f>241+74</f>
        <v>315</v>
      </c>
      <c r="Q76" s="20">
        <f>234+77</f>
        <v>311</v>
      </c>
      <c r="R76" s="27">
        <f>257+89</f>
        <v>346</v>
      </c>
      <c r="S76" s="27">
        <f>286+138</f>
        <v>424</v>
      </c>
      <c r="T76" s="27">
        <f>260+162</f>
        <v>422</v>
      </c>
      <c r="U76" s="20">
        <f>285+147</f>
        <v>432</v>
      </c>
      <c r="V76" s="1">
        <v>4119</v>
      </c>
      <c r="W76" s="20">
        <f>332+107</f>
        <v>439</v>
      </c>
      <c r="X76" s="1">
        <f>4198-19</f>
        <v>4179</v>
      </c>
      <c r="Y76" s="20">
        <f>263+96</f>
        <v>359</v>
      </c>
      <c r="Z76" s="20">
        <v>4432</v>
      </c>
      <c r="AA76" s="20">
        <f>315+78</f>
        <v>393</v>
      </c>
      <c r="AB76" s="1">
        <v>4536</v>
      </c>
      <c r="AC76" s="20">
        <v>441</v>
      </c>
      <c r="AD76" s="20">
        <v>4464</v>
      </c>
      <c r="AE76" s="20">
        <v>481</v>
      </c>
      <c r="AF76" s="1">
        <v>4509</v>
      </c>
      <c r="AG76" s="67">
        <v>496</v>
      </c>
      <c r="AH76" s="41">
        <v>4627</v>
      </c>
    </row>
    <row r="77" spans="1:34" ht="12.75" customHeight="1">
      <c r="A77" s="2" t="s">
        <v>60</v>
      </c>
      <c r="B77" s="8">
        <v>0.77320153761669408</v>
      </c>
      <c r="C77" s="9">
        <v>0.59591584158415845</v>
      </c>
      <c r="D77" s="11" t="s">
        <v>30</v>
      </c>
      <c r="E77" s="9">
        <v>0.60131147540983609</v>
      </c>
      <c r="F77" s="9">
        <v>0.60685483870967738</v>
      </c>
      <c r="G77" s="9">
        <v>0.56433121019108279</v>
      </c>
      <c r="H77" s="9">
        <f t="shared" si="34"/>
        <v>0.5521945432977462</v>
      </c>
      <c r="I77" s="9">
        <f t="shared" si="29"/>
        <v>0.53986710963455153</v>
      </c>
      <c r="J77" s="9">
        <f t="shared" si="35"/>
        <v>0.58679135008766803</v>
      </c>
      <c r="K77" s="9">
        <f t="shared" si="36"/>
        <v>0.63054755043227662</v>
      </c>
      <c r="L77" s="9">
        <f t="shared" si="32"/>
        <v>0.62682926829268293</v>
      </c>
      <c r="M77" s="9">
        <f t="shared" si="33"/>
        <v>0.6832135858915741</v>
      </c>
      <c r="N77" s="54">
        <f t="shared" si="31"/>
        <v>0.51622247972190038</v>
      </c>
      <c r="O77" s="18">
        <f>1323+58+27</f>
        <v>1408</v>
      </c>
      <c r="P77" s="20">
        <f>938+25</f>
        <v>963</v>
      </c>
      <c r="Q77" s="27" t="s">
        <v>30</v>
      </c>
      <c r="R77" s="27">
        <f>905+12</f>
        <v>917</v>
      </c>
      <c r="S77" s="27">
        <f>888+15</f>
        <v>903</v>
      </c>
      <c r="T77" s="27">
        <f>875+11</f>
        <v>886</v>
      </c>
      <c r="U77" s="20">
        <f>912+1+18</f>
        <v>931</v>
      </c>
      <c r="V77" s="1">
        <v>1686</v>
      </c>
      <c r="W77" s="20">
        <f>964+11</f>
        <v>975</v>
      </c>
      <c r="X77" s="1">
        <v>1806</v>
      </c>
      <c r="Y77" s="20">
        <f>999+5</f>
        <v>1004</v>
      </c>
      <c r="Z77" s="20">
        <v>1711</v>
      </c>
      <c r="AA77" s="20">
        <f>1090+4</f>
        <v>1094</v>
      </c>
      <c r="AB77" s="1">
        <v>1735</v>
      </c>
      <c r="AC77" s="20">
        <v>1028</v>
      </c>
      <c r="AD77" s="20">
        <v>1640</v>
      </c>
      <c r="AE77" s="20">
        <v>1046</v>
      </c>
      <c r="AF77" s="1">
        <v>1531</v>
      </c>
      <c r="AG77" s="67">
        <v>891</v>
      </c>
      <c r="AH77" s="41">
        <v>1726</v>
      </c>
    </row>
    <row r="78" spans="1:34" ht="12.75" customHeight="1">
      <c r="A78" s="2" t="s">
        <v>61</v>
      </c>
      <c r="B78" s="8">
        <v>0.12291169451073986</v>
      </c>
      <c r="C78" s="9">
        <v>0.13554434030281182</v>
      </c>
      <c r="D78" s="9">
        <v>0.12777352716143842</v>
      </c>
      <c r="E78" s="9">
        <v>0.13509544787077826</v>
      </c>
      <c r="F78" s="9">
        <v>0.13507625272331156</v>
      </c>
      <c r="G78" s="9">
        <v>0.13984168865435356</v>
      </c>
      <c r="H78" s="9">
        <f t="shared" si="34"/>
        <v>0.10242085661080075</v>
      </c>
      <c r="I78" s="9">
        <f t="shared" si="29"/>
        <v>0.10158910329171396</v>
      </c>
      <c r="J78" s="9">
        <f t="shared" si="35"/>
        <v>0.10069790628115653</v>
      </c>
      <c r="K78" s="9">
        <f t="shared" si="36"/>
        <v>9.6727622714148226E-2</v>
      </c>
      <c r="L78" s="9">
        <f t="shared" si="32"/>
        <v>0.11409068746952707</v>
      </c>
      <c r="M78" s="9">
        <f t="shared" si="33"/>
        <v>0.11742059672762271</v>
      </c>
      <c r="N78" s="54">
        <f t="shared" si="31"/>
        <v>0.10652591170825336</v>
      </c>
      <c r="O78" s="18">
        <v>103</v>
      </c>
      <c r="P78" s="20">
        <f>157+31</f>
        <v>188</v>
      </c>
      <c r="Q78" s="20">
        <f>133+34</f>
        <v>167</v>
      </c>
      <c r="R78" s="20">
        <f>152+32</f>
        <v>184</v>
      </c>
      <c r="S78" s="20">
        <f>159+27</f>
        <v>186</v>
      </c>
      <c r="T78" s="20">
        <f>177+35</f>
        <v>212</v>
      </c>
      <c r="U78" s="20">
        <f>151+14</f>
        <v>165</v>
      </c>
      <c r="V78" s="1">
        <v>1611</v>
      </c>
      <c r="W78" s="20">
        <f>166+13</f>
        <v>179</v>
      </c>
      <c r="X78" s="1">
        <v>1762</v>
      </c>
      <c r="Y78" s="20">
        <f>186+16</f>
        <v>202</v>
      </c>
      <c r="Z78" s="20">
        <v>2006</v>
      </c>
      <c r="AA78" s="20">
        <f>184+17</f>
        <v>201</v>
      </c>
      <c r="AB78" s="1">
        <v>2078</v>
      </c>
      <c r="AC78" s="20">
        <v>234</v>
      </c>
      <c r="AD78" s="20">
        <v>2051</v>
      </c>
      <c r="AE78" s="20">
        <v>244</v>
      </c>
      <c r="AF78" s="1">
        <v>2078</v>
      </c>
      <c r="AG78" s="67">
        <v>222</v>
      </c>
      <c r="AH78" s="41">
        <v>2084</v>
      </c>
    </row>
    <row r="79" spans="1:34" ht="12.75" customHeight="1">
      <c r="A79" s="2" t="s">
        <v>62</v>
      </c>
      <c r="B79" s="8">
        <v>8.9861751152073732E-2</v>
      </c>
      <c r="C79" s="9">
        <v>0.17788018433179723</v>
      </c>
      <c r="D79" s="9">
        <v>0.18128654970760233</v>
      </c>
      <c r="E79" s="9">
        <v>0.17241379310344829</v>
      </c>
      <c r="F79" s="9">
        <v>0.17171717171717171</v>
      </c>
      <c r="G79" s="9">
        <v>0.18308550185873607</v>
      </c>
      <c r="H79" s="9">
        <f t="shared" si="34"/>
        <v>0.19060773480662985</v>
      </c>
      <c r="I79" s="9">
        <f t="shared" ref="I79:I108" si="37">+W79/X79</f>
        <v>0.18428184281842819</v>
      </c>
      <c r="J79" s="9">
        <f t="shared" si="35"/>
        <v>0.2227579556412729</v>
      </c>
      <c r="K79" s="9">
        <f t="shared" si="36"/>
        <v>0.23361823361823361</v>
      </c>
      <c r="L79" s="9">
        <f t="shared" si="32"/>
        <v>0.28888888888888886</v>
      </c>
      <c r="M79" s="9">
        <f t="shared" si="33"/>
        <v>0.24401064773735581</v>
      </c>
      <c r="N79" s="54">
        <f t="shared" si="31"/>
        <v>0.25529953917050691</v>
      </c>
      <c r="O79" s="18">
        <v>39</v>
      </c>
      <c r="P79" s="20">
        <f>185+8</f>
        <v>193</v>
      </c>
      <c r="Q79" s="20">
        <f>175+11</f>
        <v>186</v>
      </c>
      <c r="R79" s="20">
        <f>161+9</f>
        <v>170</v>
      </c>
      <c r="S79" s="20">
        <f>180+7</f>
        <v>187</v>
      </c>
      <c r="T79" s="20">
        <f>185+12</f>
        <v>197</v>
      </c>
      <c r="U79" s="20">
        <f>198+9</f>
        <v>207</v>
      </c>
      <c r="V79" s="1">
        <f>1114-28</f>
        <v>1086</v>
      </c>
      <c r="W79" s="20">
        <f>193+1+10</f>
        <v>204</v>
      </c>
      <c r="X79" s="1">
        <f>1128-21</f>
        <v>1107</v>
      </c>
      <c r="Y79" s="20">
        <f>215+16</f>
        <v>231</v>
      </c>
      <c r="Z79" s="20">
        <v>1037</v>
      </c>
      <c r="AA79" s="20">
        <f>218+28</f>
        <v>246</v>
      </c>
      <c r="AB79" s="1">
        <v>1053</v>
      </c>
      <c r="AC79" s="20">
        <v>299</v>
      </c>
      <c r="AD79" s="20">
        <v>1035</v>
      </c>
      <c r="AE79" s="20">
        <v>275</v>
      </c>
      <c r="AF79" s="1">
        <v>1127</v>
      </c>
      <c r="AG79" s="67">
        <v>277</v>
      </c>
      <c r="AH79" s="41">
        <v>1085</v>
      </c>
    </row>
    <row r="80" spans="1:34" ht="12.75" customHeight="1">
      <c r="A80" s="2" t="s">
        <v>63</v>
      </c>
      <c r="B80" s="10" t="s">
        <v>30</v>
      </c>
      <c r="C80" s="9">
        <v>0.14673743365594755</v>
      </c>
      <c r="D80" s="9">
        <v>0.1426448736998514</v>
      </c>
      <c r="E80" s="9">
        <v>0.13908629441624365</v>
      </c>
      <c r="F80" s="9">
        <v>0.15484840892007015</v>
      </c>
      <c r="G80" s="9">
        <v>0.15028901734104047</v>
      </c>
      <c r="H80" s="9">
        <f t="shared" si="34"/>
        <v>0.16832579185520363</v>
      </c>
      <c r="I80" s="9">
        <f t="shared" si="37"/>
        <v>0.19074394463667821</v>
      </c>
      <c r="J80" s="9">
        <f t="shared" si="35"/>
        <v>0.20595054095826892</v>
      </c>
      <c r="K80" s="9">
        <f t="shared" si="36"/>
        <v>0.21155539897833361</v>
      </c>
      <c r="L80" s="9">
        <f t="shared" si="32"/>
        <v>0.23432070163825913</v>
      </c>
      <c r="M80" s="9">
        <f t="shared" si="33"/>
        <v>0.26134800550206327</v>
      </c>
      <c r="N80" s="54">
        <f t="shared" si="31"/>
        <v>0.28593947036569989</v>
      </c>
      <c r="O80" s="26" t="s">
        <v>30</v>
      </c>
      <c r="P80" s="20">
        <f>410+1+59</f>
        <v>470</v>
      </c>
      <c r="Q80" s="20">
        <f>362+118</f>
        <v>480</v>
      </c>
      <c r="R80" s="20">
        <f>374+174</f>
        <v>548</v>
      </c>
      <c r="S80" s="20">
        <f>415+203</f>
        <v>618</v>
      </c>
      <c r="T80" s="20">
        <f>345+253</f>
        <v>598</v>
      </c>
      <c r="U80" s="20">
        <f>415+329</f>
        <v>744</v>
      </c>
      <c r="V80" s="1">
        <f>4449-29</f>
        <v>4420</v>
      </c>
      <c r="W80" s="20">
        <f>532+350</f>
        <v>882</v>
      </c>
      <c r="X80" s="1">
        <f>4923-299</f>
        <v>4624</v>
      </c>
      <c r="Y80" s="20">
        <f>718+2+346</f>
        <v>1066</v>
      </c>
      <c r="Z80" s="20">
        <f>5512-336</f>
        <v>5176</v>
      </c>
      <c r="AA80" s="20">
        <f>851+1+349</f>
        <v>1201</v>
      </c>
      <c r="AB80" s="1">
        <f>5738-61</f>
        <v>5677</v>
      </c>
      <c r="AC80" s="20">
        <v>1416</v>
      </c>
      <c r="AD80" s="20">
        <v>6043</v>
      </c>
      <c r="AE80" s="20">
        <v>1520</v>
      </c>
      <c r="AF80" s="1">
        <v>5816</v>
      </c>
      <c r="AG80" s="67">
        <v>1814</v>
      </c>
      <c r="AH80" s="41">
        <v>6344</v>
      </c>
    </row>
    <row r="81" spans="1:34" ht="12.75" customHeight="1">
      <c r="A81" s="2" t="s">
        <v>64</v>
      </c>
      <c r="B81" s="8">
        <v>6.8688118811881194E-2</v>
      </c>
      <c r="C81" s="9">
        <v>0.14066193853427897</v>
      </c>
      <c r="D81" s="9">
        <v>0.13545347467608951</v>
      </c>
      <c r="E81" s="9">
        <v>0.127373417721519</v>
      </c>
      <c r="F81" s="9">
        <v>0.11037699183832103</v>
      </c>
      <c r="G81" s="9">
        <v>0.11512158054711247</v>
      </c>
      <c r="H81" s="9">
        <f t="shared" si="34"/>
        <v>0.11143911439114391</v>
      </c>
      <c r="I81" s="9">
        <f t="shared" si="37"/>
        <v>0.10963455149501661</v>
      </c>
      <c r="J81" s="9">
        <f t="shared" si="35"/>
        <v>0.12113003095975232</v>
      </c>
      <c r="K81" s="9">
        <f t="shared" si="36"/>
        <v>0.12937194433997742</v>
      </c>
      <c r="L81" s="9">
        <f>AC81/AD81</f>
        <v>0.13573508005822416</v>
      </c>
      <c r="M81" s="9">
        <f t="shared" si="33"/>
        <v>0.13066761870760443</v>
      </c>
      <c r="N81" s="54">
        <f t="shared" si="31"/>
        <v>0.1269678302532512</v>
      </c>
      <c r="O81" s="18">
        <v>111</v>
      </c>
      <c r="P81" s="20">
        <f>203+154</f>
        <v>357</v>
      </c>
      <c r="Q81" s="20">
        <f>214+131</f>
        <v>345</v>
      </c>
      <c r="R81" s="20">
        <f>201+121</f>
        <v>322</v>
      </c>
      <c r="S81" s="20">
        <f>189+95</f>
        <v>284</v>
      </c>
      <c r="T81" s="20">
        <f>215+88</f>
        <v>303</v>
      </c>
      <c r="U81" s="20">
        <f>211+91</f>
        <v>302</v>
      </c>
      <c r="V81" s="1">
        <v>2710</v>
      </c>
      <c r="W81" s="20">
        <f>252+45</f>
        <v>297</v>
      </c>
      <c r="X81" s="1">
        <v>2709</v>
      </c>
      <c r="Y81" s="20">
        <f>279+34</f>
        <v>313</v>
      </c>
      <c r="Z81" s="20">
        <v>2584</v>
      </c>
      <c r="AA81" s="20">
        <f>321+23</f>
        <v>344</v>
      </c>
      <c r="AB81" s="1">
        <v>2659</v>
      </c>
      <c r="AC81" s="20">
        <v>373</v>
      </c>
      <c r="AD81" s="20">
        <v>2748</v>
      </c>
      <c r="AE81" s="20">
        <v>366</v>
      </c>
      <c r="AF81" s="1">
        <v>2801</v>
      </c>
      <c r="AG81" s="67">
        <v>371</v>
      </c>
      <c r="AH81" s="41">
        <v>2922</v>
      </c>
    </row>
    <row r="82" spans="1:34" ht="12.75" customHeight="1">
      <c r="A82" s="2" t="s">
        <v>65</v>
      </c>
      <c r="B82" s="8">
        <v>5.7077625570776253E-2</v>
      </c>
      <c r="C82" s="9">
        <v>5.0104384133611693E-2</v>
      </c>
      <c r="D82" s="9">
        <v>4.4952100221075902E-2</v>
      </c>
      <c r="E82" s="9">
        <v>4.9949375632804591E-2</v>
      </c>
      <c r="F82" s="9">
        <v>6.3615205585725365E-2</v>
      </c>
      <c r="G82" s="9">
        <v>6.1814191660570596E-2</v>
      </c>
      <c r="H82" s="9">
        <f t="shared" si="34"/>
        <v>7.3655494933749024E-2</v>
      </c>
      <c r="I82" s="9">
        <f t="shared" si="37"/>
        <v>7.3954983922829579E-2</v>
      </c>
      <c r="J82" s="9">
        <f t="shared" si="35"/>
        <v>0.20285261489698891</v>
      </c>
      <c r="K82" s="9">
        <f t="shared" si="36"/>
        <v>0.20222929936305734</v>
      </c>
      <c r="L82" s="9">
        <f t="shared" si="32"/>
        <v>0.18832236842105263</v>
      </c>
      <c r="M82" s="9">
        <f t="shared" si="33"/>
        <v>0.18375717801476621</v>
      </c>
      <c r="N82" s="54">
        <f t="shared" si="31"/>
        <v>6.39481000926784E-2</v>
      </c>
      <c r="O82" s="18">
        <v>25</v>
      </c>
      <c r="P82" s="20">
        <f>91+1+28</f>
        <v>120</v>
      </c>
      <c r="Q82" s="20">
        <f>93+6+23</f>
        <v>122</v>
      </c>
      <c r="R82" s="20">
        <v>148</v>
      </c>
      <c r="S82" s="20">
        <f>116+6+42</f>
        <v>164</v>
      </c>
      <c r="T82" s="20">
        <f>129+3+37</f>
        <v>169</v>
      </c>
      <c r="U82" s="20">
        <f>147+6+36</f>
        <v>189</v>
      </c>
      <c r="V82" s="1">
        <f>2649-83</f>
        <v>2566</v>
      </c>
      <c r="W82" s="20">
        <f>158+2+47</f>
        <v>207</v>
      </c>
      <c r="X82" s="1">
        <f>2947-148</f>
        <v>2799</v>
      </c>
      <c r="Y82" s="20">
        <f>185+5+66</f>
        <v>256</v>
      </c>
      <c r="Z82" s="20">
        <f>1410-148</f>
        <v>1262</v>
      </c>
      <c r="AA82" s="20">
        <f>166+4+84</f>
        <v>254</v>
      </c>
      <c r="AB82" s="1">
        <f>1462-206</f>
        <v>1256</v>
      </c>
      <c r="AC82" s="20">
        <v>229</v>
      </c>
      <c r="AD82" s="20">
        <v>1216</v>
      </c>
      <c r="AE82" s="20">
        <v>224</v>
      </c>
      <c r="AF82" s="1">
        <v>1219</v>
      </c>
      <c r="AG82" s="67">
        <v>207</v>
      </c>
      <c r="AH82" s="41">
        <v>3237</v>
      </c>
    </row>
    <row r="83" spans="1:34" ht="12.75" customHeight="1">
      <c r="A83" s="2" t="s">
        <v>66</v>
      </c>
      <c r="B83" s="8">
        <v>0.26970954356846472</v>
      </c>
      <c r="C83" s="9">
        <v>0.35897435897435898</v>
      </c>
      <c r="D83" s="9">
        <v>0.33005893909626721</v>
      </c>
      <c r="E83" s="9">
        <v>0.34012738853503183</v>
      </c>
      <c r="F83" s="9">
        <v>0.35248547449967721</v>
      </c>
      <c r="G83" s="9">
        <v>0.35890932149651239</v>
      </c>
      <c r="H83" s="9">
        <f t="shared" si="34"/>
        <v>0.35312500000000002</v>
      </c>
      <c r="I83" s="9">
        <f t="shared" si="37"/>
        <v>0.36184615384615387</v>
      </c>
      <c r="J83" s="11" t="s">
        <v>30</v>
      </c>
      <c r="K83" s="9">
        <f t="shared" si="36"/>
        <v>0.3688073394495413</v>
      </c>
      <c r="L83" s="9">
        <f t="shared" si="32"/>
        <v>0.35367372353673726</v>
      </c>
      <c r="M83" s="9">
        <f t="shared" si="33"/>
        <v>0.33116883116883117</v>
      </c>
      <c r="N83" s="54">
        <f t="shared" si="31"/>
        <v>0.31325998841922409</v>
      </c>
      <c r="O83" s="18">
        <v>130</v>
      </c>
      <c r="P83" s="20">
        <f>464+40</f>
        <v>504</v>
      </c>
      <c r="Q83" s="20">
        <f>467+5+32</f>
        <v>504</v>
      </c>
      <c r="R83" s="20">
        <f>485+3+46</f>
        <v>534</v>
      </c>
      <c r="S83" s="20">
        <f>492+14+40</f>
        <v>546</v>
      </c>
      <c r="T83" s="20">
        <f>447+14+105</f>
        <v>566</v>
      </c>
      <c r="U83" s="20">
        <f>466+7+92</f>
        <v>565</v>
      </c>
      <c r="V83" s="1">
        <v>1600</v>
      </c>
      <c r="W83" s="20">
        <f>477+4+107</f>
        <v>588</v>
      </c>
      <c r="X83" s="1">
        <v>1625</v>
      </c>
      <c r="Y83" s="27" t="s">
        <v>30</v>
      </c>
      <c r="AA83" s="20">
        <f>433+9+161</f>
        <v>603</v>
      </c>
      <c r="AB83" s="1">
        <v>1635</v>
      </c>
      <c r="AC83" s="20">
        <v>568</v>
      </c>
      <c r="AD83" s="20">
        <v>1606</v>
      </c>
      <c r="AE83" s="20">
        <v>561</v>
      </c>
      <c r="AF83" s="1">
        <v>1694</v>
      </c>
      <c r="AG83" s="67">
        <v>541</v>
      </c>
      <c r="AH83" s="41">
        <v>1727</v>
      </c>
    </row>
    <row r="84" spans="1:34" ht="12.75" customHeight="1">
      <c r="A84" s="2" t="s">
        <v>67</v>
      </c>
      <c r="B84" s="10" t="s">
        <v>30</v>
      </c>
      <c r="C84" s="9">
        <v>0.846714172604909</v>
      </c>
      <c r="D84" s="9">
        <v>0.85985561833019464</v>
      </c>
      <c r="E84" s="9">
        <v>0.59313938341293959</v>
      </c>
      <c r="F84" s="9">
        <v>0.66998468606431849</v>
      </c>
      <c r="G84" s="9">
        <v>0.54370929036681526</v>
      </c>
      <c r="H84" s="9">
        <f t="shared" si="34"/>
        <v>0.77679837892603854</v>
      </c>
      <c r="I84" s="9">
        <f t="shared" si="37"/>
        <v>0.86919057658813825</v>
      </c>
      <c r="J84" s="9">
        <f t="shared" ref="J84:J94" si="38">+Y84/Z84</f>
        <v>0.83812205017802432</v>
      </c>
      <c r="K84" s="9">
        <f t="shared" si="36"/>
        <v>0.7963656650992269</v>
      </c>
      <c r="L84" s="9">
        <f t="shared" si="32"/>
        <v>0.81677092406366303</v>
      </c>
      <c r="M84" s="9">
        <f t="shared" si="33"/>
        <v>0.82107089346266071</v>
      </c>
      <c r="N84" s="54">
        <f t="shared" si="31"/>
        <v>0.7957016434892541</v>
      </c>
      <c r="O84" s="26" t="s">
        <v>30</v>
      </c>
      <c r="P84" s="20">
        <v>5347</v>
      </c>
      <c r="Q84" s="20">
        <v>5479</v>
      </c>
      <c r="R84" s="20">
        <f>1326+1+39</f>
        <v>1366</v>
      </c>
      <c r="S84" s="20">
        <f>1629+121</f>
        <v>1750</v>
      </c>
      <c r="T84" s="20">
        <f>1477+109</f>
        <v>1586</v>
      </c>
      <c r="U84" s="20">
        <f>7346+321</f>
        <v>7667</v>
      </c>
      <c r="V84" s="1">
        <v>9870</v>
      </c>
      <c r="W84" s="20">
        <f>9075+8+399</f>
        <v>9482</v>
      </c>
      <c r="X84" s="1">
        <f>11521-612</f>
        <v>10909</v>
      </c>
      <c r="Y84" s="20">
        <f>9709+5+408</f>
        <v>10122</v>
      </c>
      <c r="Z84" s="20">
        <v>12077</v>
      </c>
      <c r="AA84" s="20">
        <f>9772+1+219</f>
        <v>9992</v>
      </c>
      <c r="AB84" s="1">
        <f>12688-141</f>
        <v>12547</v>
      </c>
      <c r="AC84" s="20">
        <v>10315</v>
      </c>
      <c r="AD84" s="20">
        <v>12629</v>
      </c>
      <c r="AE84" s="20">
        <v>10412</v>
      </c>
      <c r="AF84" s="1">
        <v>12681</v>
      </c>
      <c r="AG84" s="67">
        <v>9441</v>
      </c>
      <c r="AH84" s="41">
        <v>11865</v>
      </c>
    </row>
    <row r="85" spans="1:34" ht="12.75" customHeight="1">
      <c r="A85" s="2" t="s">
        <v>68</v>
      </c>
      <c r="B85" s="8">
        <v>0.24851131401349741</v>
      </c>
      <c r="C85" s="9">
        <v>0.30453879941434847</v>
      </c>
      <c r="D85" s="9">
        <v>0.32256509161041463</v>
      </c>
      <c r="E85" s="9">
        <v>0.31664282308059133</v>
      </c>
      <c r="F85" s="9">
        <v>0.28810226155358898</v>
      </c>
      <c r="G85" s="9">
        <v>0.30780706116360018</v>
      </c>
      <c r="H85" s="9">
        <f t="shared" si="34"/>
        <v>0.29554455445544553</v>
      </c>
      <c r="I85" s="9">
        <f t="shared" si="37"/>
        <v>0.30796731358529111</v>
      </c>
      <c r="J85" s="9">
        <f t="shared" si="38"/>
        <v>0.33299180327868855</v>
      </c>
      <c r="K85" s="9">
        <f t="shared" si="36"/>
        <v>0.32902917264466763</v>
      </c>
      <c r="L85" s="9">
        <f t="shared" si="32"/>
        <v>0.33438343834383438</v>
      </c>
      <c r="M85" s="9">
        <f t="shared" si="33"/>
        <v>0.33520276100086283</v>
      </c>
      <c r="N85" s="54">
        <f t="shared" si="31"/>
        <v>0.34299732381801962</v>
      </c>
      <c r="O85" s="18">
        <v>626</v>
      </c>
      <c r="P85" s="20">
        <f>615+9</f>
        <v>624</v>
      </c>
      <c r="Q85" s="20">
        <f>648+21</f>
        <v>669</v>
      </c>
      <c r="R85" s="20">
        <f>629+35</f>
        <v>664</v>
      </c>
      <c r="S85" s="20">
        <f>567+19</f>
        <v>586</v>
      </c>
      <c r="T85" s="20">
        <f>582+1+36</f>
        <v>619</v>
      </c>
      <c r="U85" s="20">
        <f>576+1+20</f>
        <v>597</v>
      </c>
      <c r="V85" s="1">
        <v>2020</v>
      </c>
      <c r="W85" s="20">
        <f>585+18</f>
        <v>603</v>
      </c>
      <c r="X85" s="1">
        <v>1958</v>
      </c>
      <c r="Y85" s="20">
        <f>639+11</f>
        <v>650</v>
      </c>
      <c r="Z85" s="20">
        <v>1952</v>
      </c>
      <c r="AA85" s="20">
        <f>666+1+21</f>
        <v>688</v>
      </c>
      <c r="AB85" s="1">
        <v>2091</v>
      </c>
      <c r="AC85" s="20">
        <v>743</v>
      </c>
      <c r="AD85" s="20">
        <v>2222</v>
      </c>
      <c r="AE85" s="20">
        <v>777</v>
      </c>
      <c r="AF85" s="1">
        <v>2318</v>
      </c>
      <c r="AG85" s="67">
        <v>769</v>
      </c>
      <c r="AH85" s="41">
        <v>2242</v>
      </c>
    </row>
    <row r="86" spans="1:34" ht="12.75" customHeight="1">
      <c r="A86" s="2" t="s">
        <v>69</v>
      </c>
      <c r="B86" s="8">
        <v>0.27311598075895244</v>
      </c>
      <c r="C86" s="9">
        <v>0.41620209059233448</v>
      </c>
      <c r="D86" s="9">
        <v>0.44599474720945503</v>
      </c>
      <c r="E86" s="9">
        <v>0.46344936708860762</v>
      </c>
      <c r="F86" s="9">
        <v>0.49038163201985729</v>
      </c>
      <c r="G86" s="9">
        <v>0.5093195938778603</v>
      </c>
      <c r="H86" s="9">
        <f t="shared" si="34"/>
        <v>0.51093375897845172</v>
      </c>
      <c r="I86" s="9">
        <f t="shared" si="37"/>
        <v>0.35014142202282261</v>
      </c>
      <c r="J86" s="9">
        <f t="shared" si="38"/>
        <v>0.37086675797299939</v>
      </c>
      <c r="K86" s="9">
        <f t="shared" si="36"/>
        <v>0.40136312003029156</v>
      </c>
      <c r="L86" s="9">
        <f t="shared" si="32"/>
        <v>0.4175217048145225</v>
      </c>
      <c r="M86" s="9">
        <f t="shared" si="33"/>
        <v>0.43896297677888652</v>
      </c>
      <c r="N86" s="54">
        <f t="shared" si="31"/>
        <v>0.4557075176544203</v>
      </c>
      <c r="O86" s="18">
        <f>1076+166+23+120+148</f>
        <v>1533</v>
      </c>
      <c r="P86" s="20">
        <f>2017+16+356</f>
        <v>2389</v>
      </c>
      <c r="Q86" s="20">
        <f>2429+13+275</f>
        <v>2717</v>
      </c>
      <c r="R86" s="20">
        <f>2664+12+253</f>
        <v>2929</v>
      </c>
      <c r="S86" s="20">
        <f>2971+9+181</f>
        <v>3161</v>
      </c>
      <c r="T86" s="20">
        <f>3166+12+183</f>
        <v>3361</v>
      </c>
      <c r="U86" s="20">
        <f>2997+10+194</f>
        <v>3201</v>
      </c>
      <c r="V86" s="1">
        <f>9917-3652</f>
        <v>6265</v>
      </c>
      <c r="W86" s="20">
        <f>3413+5+172</f>
        <v>3590</v>
      </c>
      <c r="X86" s="1">
        <f>10270-17</f>
        <v>10253</v>
      </c>
      <c r="Y86" s="20">
        <f>3616+10+165</f>
        <v>3791</v>
      </c>
      <c r="Z86" s="20">
        <f>10235-13</f>
        <v>10222</v>
      </c>
      <c r="AA86" s="20">
        <f>4014+11+215</f>
        <v>4240</v>
      </c>
      <c r="AB86" s="1">
        <f>10591-27</f>
        <v>10564</v>
      </c>
      <c r="AC86" s="20">
        <v>4232</v>
      </c>
      <c r="AD86" s="20">
        <v>10136</v>
      </c>
      <c r="AE86" s="20">
        <v>4707</v>
      </c>
      <c r="AF86" s="1">
        <v>10723</v>
      </c>
      <c r="AG86" s="67">
        <v>5098</v>
      </c>
      <c r="AH86" s="41">
        <v>11187</v>
      </c>
    </row>
    <row r="87" spans="1:34" ht="12.75" customHeight="1">
      <c r="A87" s="2" t="s">
        <v>70</v>
      </c>
      <c r="B87" s="10" t="s">
        <v>30</v>
      </c>
      <c r="C87" s="9">
        <v>0.15959376133478417</v>
      </c>
      <c r="D87" s="9">
        <v>0.18619246861924685</v>
      </c>
      <c r="E87" s="9">
        <v>0.17993573723670117</v>
      </c>
      <c r="F87" s="9">
        <v>0.17243920412675018</v>
      </c>
      <c r="G87" s="9">
        <v>0.16691230655858511</v>
      </c>
      <c r="H87" s="9">
        <f t="shared" si="34"/>
        <v>0.17035647279549718</v>
      </c>
      <c r="I87" s="9">
        <f t="shared" si="37"/>
        <v>0.16261061946902655</v>
      </c>
      <c r="J87" s="9">
        <f t="shared" si="38"/>
        <v>0.16462480857580397</v>
      </c>
      <c r="K87" s="9">
        <f t="shared" si="36"/>
        <v>0.1676946800308404</v>
      </c>
      <c r="L87" s="9">
        <f t="shared" si="32"/>
        <v>0.1627554882664648</v>
      </c>
      <c r="M87" s="9">
        <f t="shared" si="33"/>
        <v>0.15977011494252874</v>
      </c>
      <c r="N87" s="54">
        <f t="shared" si="31"/>
        <v>0.1579699785561115</v>
      </c>
      <c r="O87" s="18">
        <f>426+15+14</f>
        <v>455</v>
      </c>
      <c r="P87" s="20">
        <f>421+19</f>
        <v>440</v>
      </c>
      <c r="Q87" s="20">
        <f>511+23</f>
        <v>534</v>
      </c>
      <c r="R87" s="20">
        <f>490+14</f>
        <v>504</v>
      </c>
      <c r="S87" s="20">
        <f>450+18</f>
        <v>468</v>
      </c>
      <c r="T87" s="20">
        <f>440+1+12</f>
        <v>453</v>
      </c>
      <c r="U87" s="20">
        <f>430+24</f>
        <v>454</v>
      </c>
      <c r="V87" s="1">
        <v>2665</v>
      </c>
      <c r="W87" s="20">
        <f>422+19</f>
        <v>441</v>
      </c>
      <c r="X87" s="1">
        <f>2736-24</f>
        <v>2712</v>
      </c>
      <c r="Y87" s="20">
        <v>430</v>
      </c>
      <c r="Z87" s="20">
        <v>2612</v>
      </c>
      <c r="AA87" s="20">
        <f>415+20</f>
        <v>435</v>
      </c>
      <c r="AB87" s="1">
        <f>2683-89</f>
        <v>2594</v>
      </c>
      <c r="AC87" s="20">
        <v>430</v>
      </c>
      <c r="AD87" s="20">
        <v>2642</v>
      </c>
      <c r="AE87" s="20">
        <v>417</v>
      </c>
      <c r="AF87" s="1">
        <v>2610</v>
      </c>
      <c r="AG87" s="67">
        <v>442</v>
      </c>
      <c r="AH87" s="41">
        <v>2798</v>
      </c>
    </row>
    <row r="88" spans="1:34" ht="12.75" customHeight="1">
      <c r="A88" s="2" t="s">
        <v>71</v>
      </c>
      <c r="B88" s="8">
        <v>0.77179080824088753</v>
      </c>
      <c r="C88" s="9">
        <v>0.62579821200510855</v>
      </c>
      <c r="D88" s="9">
        <v>0.62272089761570826</v>
      </c>
      <c r="E88" s="9">
        <v>0.57980900409276948</v>
      </c>
      <c r="F88" s="9">
        <v>0.57968970380818052</v>
      </c>
      <c r="G88" s="9">
        <v>0.55339805825242716</v>
      </c>
      <c r="H88" s="9">
        <f t="shared" si="34"/>
        <v>0.57240204429301533</v>
      </c>
      <c r="I88" s="9">
        <f t="shared" si="37"/>
        <v>0.54766031195840559</v>
      </c>
      <c r="J88" s="9">
        <f t="shared" si="38"/>
        <v>0.54660347551342814</v>
      </c>
      <c r="K88" s="9">
        <f t="shared" si="36"/>
        <v>0.54847277556440899</v>
      </c>
      <c r="L88" s="9">
        <f t="shared" si="32"/>
        <v>0.52899408284023663</v>
      </c>
      <c r="M88" s="9">
        <f t="shared" si="33"/>
        <v>0.50226244343891402</v>
      </c>
      <c r="N88" s="54">
        <f t="shared" si="31"/>
        <v>0.48038176033934255</v>
      </c>
      <c r="O88" s="26">
        <v>974</v>
      </c>
      <c r="P88" s="20">
        <f>484+6</f>
        <v>490</v>
      </c>
      <c r="Q88" s="20">
        <f>437+7</f>
        <v>444</v>
      </c>
      <c r="R88" s="20">
        <f>399+26</f>
        <v>425</v>
      </c>
      <c r="S88" s="20">
        <f>397+14</f>
        <v>411</v>
      </c>
      <c r="T88" s="20">
        <f>322+20</f>
        <v>342</v>
      </c>
      <c r="U88" s="20">
        <f>331+1+4</f>
        <v>336</v>
      </c>
      <c r="V88" s="1">
        <f>596-9</f>
        <v>587</v>
      </c>
      <c r="W88" s="20">
        <v>316</v>
      </c>
      <c r="X88" s="1">
        <v>577</v>
      </c>
      <c r="Y88" s="20">
        <v>346</v>
      </c>
      <c r="Z88" s="20">
        <v>633</v>
      </c>
      <c r="AA88" s="20">
        <f>407+1+5</f>
        <v>413</v>
      </c>
      <c r="AB88" s="1">
        <v>753</v>
      </c>
      <c r="AC88" s="20">
        <v>447</v>
      </c>
      <c r="AD88" s="20">
        <v>845</v>
      </c>
      <c r="AE88" s="20">
        <v>444</v>
      </c>
      <c r="AF88" s="1">
        <v>884</v>
      </c>
      <c r="AG88" s="67">
        <v>453</v>
      </c>
      <c r="AH88" s="41">
        <v>943</v>
      </c>
    </row>
    <row r="89" spans="1:34" ht="12.75" customHeight="1">
      <c r="A89" s="2" t="s">
        <v>72</v>
      </c>
      <c r="B89" s="8">
        <v>0.49779411764705883</v>
      </c>
      <c r="C89" s="9">
        <v>0.71802131912058631</v>
      </c>
      <c r="D89" s="9">
        <v>0.73288547664747283</v>
      </c>
      <c r="E89" s="9">
        <v>0.75204317656129527</v>
      </c>
      <c r="F89" s="9">
        <v>0.76812246735704637</v>
      </c>
      <c r="G89" s="9">
        <v>0.76741405082212255</v>
      </c>
      <c r="H89" s="9">
        <f t="shared" ref="H89:H94" si="39">+U89/V89</f>
        <v>0.73485174043833257</v>
      </c>
      <c r="I89" s="9">
        <f t="shared" si="37"/>
        <v>0.74180269694819023</v>
      </c>
      <c r="J89" s="9">
        <f t="shared" si="38"/>
        <v>0.73605386095081071</v>
      </c>
      <c r="K89" s="9">
        <f t="shared" si="36"/>
        <v>0.75103957075788064</v>
      </c>
      <c r="L89" s="9">
        <f t="shared" si="32"/>
        <v>0.77083615666079419</v>
      </c>
      <c r="M89" s="9">
        <f t="shared" si="33"/>
        <v>0.77508314855875826</v>
      </c>
      <c r="N89" s="54">
        <f t="shared" si="31"/>
        <v>0.78969219756621334</v>
      </c>
      <c r="O89" s="18">
        <f>3020+181+32+104+48</f>
        <v>3385</v>
      </c>
      <c r="P89" s="20">
        <f>3956+8+347</f>
        <v>4311</v>
      </c>
      <c r="Q89" s="20">
        <f>4244+6+332</f>
        <v>4582</v>
      </c>
      <c r="R89" s="20">
        <f>4448+10+419</f>
        <v>4877</v>
      </c>
      <c r="S89" s="20">
        <f>4679+10+429</f>
        <v>5118</v>
      </c>
      <c r="T89" s="20">
        <f>4867+10+257</f>
        <v>5134</v>
      </c>
      <c r="U89" s="20">
        <f>4868+16+246</f>
        <v>5130</v>
      </c>
      <c r="V89" s="1">
        <f>7219-238</f>
        <v>6981</v>
      </c>
      <c r="W89" s="20">
        <f>4913+17+296</f>
        <v>5226</v>
      </c>
      <c r="X89" s="1">
        <f>7188-143</f>
        <v>7045</v>
      </c>
      <c r="Y89" s="20">
        <f>4974+17+366</f>
        <v>5357</v>
      </c>
      <c r="Z89" s="20">
        <f>7433-155</f>
        <v>7278</v>
      </c>
      <c r="AA89" s="20">
        <f>5133+25+441</f>
        <v>5599</v>
      </c>
      <c r="AB89" s="1">
        <f>7466-11</f>
        <v>7455</v>
      </c>
      <c r="AC89" s="20">
        <v>5688</v>
      </c>
      <c r="AD89" s="20">
        <v>7379</v>
      </c>
      <c r="AE89" s="20">
        <v>5593</v>
      </c>
      <c r="AF89" s="1">
        <v>7216</v>
      </c>
      <c r="AG89" s="67">
        <v>5516</v>
      </c>
      <c r="AH89" s="41">
        <v>6985</v>
      </c>
    </row>
    <row r="90" spans="1:34" ht="12.75" customHeight="1">
      <c r="A90" s="2" t="s">
        <v>73</v>
      </c>
      <c r="B90" s="8">
        <v>0.17127071823204421</v>
      </c>
      <c r="C90" s="9">
        <v>0.23697725605282466</v>
      </c>
      <c r="D90" s="9">
        <v>0.2523879500367377</v>
      </c>
      <c r="E90" s="9">
        <v>0.2573552183338495</v>
      </c>
      <c r="F90" s="9">
        <v>0.26706231454005935</v>
      </c>
      <c r="G90" s="9">
        <v>0.29327199539965498</v>
      </c>
      <c r="H90" s="9">
        <f t="shared" si="39"/>
        <v>0.29930795847750863</v>
      </c>
      <c r="I90" s="9">
        <f t="shared" si="37"/>
        <v>0.26002971768202082</v>
      </c>
      <c r="J90" s="9">
        <f t="shared" si="38"/>
        <v>0.26431326016018986</v>
      </c>
      <c r="K90" s="9">
        <f t="shared" si="36"/>
        <v>0.28226281673541542</v>
      </c>
      <c r="L90" s="9">
        <f t="shared" si="32"/>
        <v>0.29036867676478995</v>
      </c>
      <c r="M90" s="9">
        <f t="shared" si="33"/>
        <v>0.314445096887845</v>
      </c>
      <c r="N90" s="54">
        <f t="shared" si="31"/>
        <v>0.26162790697674421</v>
      </c>
      <c r="O90" s="18">
        <v>186</v>
      </c>
      <c r="P90" s="20">
        <v>646</v>
      </c>
      <c r="Q90" s="20">
        <v>687</v>
      </c>
      <c r="R90" s="20">
        <f>771+60</f>
        <v>831</v>
      </c>
      <c r="S90" s="20">
        <f>824+76</f>
        <v>900</v>
      </c>
      <c r="T90" s="20">
        <f>885+135</f>
        <v>1020</v>
      </c>
      <c r="U90" s="20">
        <f>901+137</f>
        <v>1038</v>
      </c>
      <c r="V90" s="1">
        <f>3835-367</f>
        <v>3468</v>
      </c>
      <c r="W90" s="20">
        <v>875</v>
      </c>
      <c r="X90" s="1">
        <f>3890-525</f>
        <v>3365</v>
      </c>
      <c r="Y90" s="20">
        <v>891</v>
      </c>
      <c r="Z90" s="20">
        <f>3774-403</f>
        <v>3371</v>
      </c>
      <c r="AA90" s="20">
        <f>879+79</f>
        <v>958</v>
      </c>
      <c r="AB90" s="1">
        <f>3850-456</f>
        <v>3394</v>
      </c>
      <c r="AC90" s="20">
        <v>1016</v>
      </c>
      <c r="AD90" s="20">
        <v>3499</v>
      </c>
      <c r="AE90" s="20">
        <v>1071</v>
      </c>
      <c r="AF90" s="1">
        <v>3406</v>
      </c>
      <c r="AG90" s="67">
        <v>1035</v>
      </c>
      <c r="AH90" s="41">
        <v>3956</v>
      </c>
    </row>
    <row r="91" spans="1:34" ht="12.75" customHeight="1">
      <c r="A91" s="2" t="s">
        <v>74</v>
      </c>
      <c r="B91" s="8">
        <v>0.45519203413940257</v>
      </c>
      <c r="C91" s="9">
        <v>0.38073394495412843</v>
      </c>
      <c r="D91" s="9">
        <v>0.39769452449567722</v>
      </c>
      <c r="E91" s="9">
        <v>0.36588921282798836</v>
      </c>
      <c r="F91" s="9">
        <v>0.33873343151693669</v>
      </c>
      <c r="G91" s="9">
        <v>0.31872509960159362</v>
      </c>
      <c r="H91" s="9">
        <f t="shared" si="39"/>
        <v>0.33766233766233766</v>
      </c>
      <c r="I91" s="9">
        <f t="shared" si="37"/>
        <v>0.29585798816568049</v>
      </c>
      <c r="J91" s="9">
        <f t="shared" si="38"/>
        <v>0.34601664684898931</v>
      </c>
      <c r="K91" s="9">
        <f t="shared" si="36"/>
        <v>0.3557800224466891</v>
      </c>
      <c r="L91" s="9">
        <f>AC91/AD91</f>
        <v>0.34871244635193133</v>
      </c>
      <c r="M91" s="9">
        <f t="shared" si="33"/>
        <v>0.33679833679833682</v>
      </c>
      <c r="N91" s="54">
        <f t="shared" si="31"/>
        <v>0.35699999999999998</v>
      </c>
      <c r="O91" s="18">
        <v>320</v>
      </c>
      <c r="P91" s="20">
        <f>235+14</f>
        <v>249</v>
      </c>
      <c r="Q91" s="20">
        <f>261+15</f>
        <v>276</v>
      </c>
      <c r="R91" s="20">
        <f>223+28</f>
        <v>251</v>
      </c>
      <c r="S91" s="20">
        <f>191+39</f>
        <v>230</v>
      </c>
      <c r="T91" s="20">
        <f>194+46</f>
        <v>240</v>
      </c>
      <c r="U91" s="20">
        <f>209+51</f>
        <v>260</v>
      </c>
      <c r="V91" s="1">
        <f>785-15</f>
        <v>770</v>
      </c>
      <c r="W91" s="20">
        <f>216+34</f>
        <v>250</v>
      </c>
      <c r="X91" s="1">
        <v>845</v>
      </c>
      <c r="Y91" s="20">
        <f>233+58</f>
        <v>291</v>
      </c>
      <c r="Z91" s="20">
        <v>841</v>
      </c>
      <c r="AA91" s="20">
        <f>232+85</f>
        <v>317</v>
      </c>
      <c r="AB91" s="1">
        <v>891</v>
      </c>
      <c r="AC91" s="20">
        <v>325</v>
      </c>
      <c r="AD91" s="20">
        <v>932</v>
      </c>
      <c r="AE91" s="20">
        <v>324</v>
      </c>
      <c r="AF91" s="1">
        <v>962</v>
      </c>
      <c r="AG91" s="67">
        <v>357</v>
      </c>
      <c r="AH91" s="41">
        <v>1000</v>
      </c>
    </row>
    <row r="92" spans="1:34" ht="12.75" customHeight="1">
      <c r="A92" s="2" t="s">
        <v>75</v>
      </c>
      <c r="B92" s="8">
        <v>0.1420389461626575</v>
      </c>
      <c r="C92" s="9">
        <v>0.20504313205043131</v>
      </c>
      <c r="D92" s="9">
        <v>0.1933287950987066</v>
      </c>
      <c r="E92" s="9">
        <v>0.187248322147651</v>
      </c>
      <c r="F92" s="9">
        <v>0.17844646606018194</v>
      </c>
      <c r="G92" s="9">
        <v>0.18067846607669616</v>
      </c>
      <c r="H92" s="9">
        <f t="shared" si="39"/>
        <v>0.17033773861967694</v>
      </c>
      <c r="I92" s="9">
        <f t="shared" si="37"/>
        <v>0.22135007849293564</v>
      </c>
      <c r="J92" s="9">
        <f t="shared" si="38"/>
        <v>0.24636572302983933</v>
      </c>
      <c r="K92" s="9">
        <f>+AA92/AB92</f>
        <v>0.2599549211119459</v>
      </c>
      <c r="L92" s="9">
        <f t="shared" si="32"/>
        <v>0.26116259477674808</v>
      </c>
      <c r="M92" s="9">
        <f t="shared" si="33"/>
        <v>0.28912466843501328</v>
      </c>
      <c r="N92" s="54">
        <f t="shared" si="31"/>
        <v>0.27933884297520661</v>
      </c>
      <c r="O92" s="18">
        <v>248</v>
      </c>
      <c r="P92" s="20">
        <f>290+19</f>
        <v>309</v>
      </c>
      <c r="Q92" s="20">
        <f>258+26</f>
        <v>284</v>
      </c>
      <c r="R92" s="20">
        <f>247+32</f>
        <v>279</v>
      </c>
      <c r="S92" s="20">
        <f>220+35</f>
        <v>255</v>
      </c>
      <c r="T92" s="20">
        <f>219+26</f>
        <v>245</v>
      </c>
      <c r="U92" s="20">
        <v>232</v>
      </c>
      <c r="V92" s="1">
        <f>1430-68</f>
        <v>1362</v>
      </c>
      <c r="W92" s="20">
        <v>282</v>
      </c>
      <c r="X92" s="1">
        <v>1274</v>
      </c>
      <c r="Y92" s="20">
        <f>312+10</f>
        <v>322</v>
      </c>
      <c r="Z92" s="20">
        <f>1310-3</f>
        <v>1307</v>
      </c>
      <c r="AA92" s="20">
        <v>346</v>
      </c>
      <c r="AB92" s="1">
        <v>1331</v>
      </c>
      <c r="AC92" s="20">
        <v>310</v>
      </c>
      <c r="AD92" s="20">
        <v>1187</v>
      </c>
      <c r="AE92" s="20">
        <v>327</v>
      </c>
      <c r="AF92" s="1">
        <v>1131</v>
      </c>
      <c r="AG92" s="67">
        <v>338</v>
      </c>
      <c r="AH92" s="41">
        <v>1210</v>
      </c>
    </row>
    <row r="93" spans="1:34" ht="12.75" customHeight="1">
      <c r="A93" s="2" t="s">
        <v>76</v>
      </c>
      <c r="B93" s="8">
        <v>0.5811320754716981</v>
      </c>
      <c r="C93" s="9">
        <v>0.29397874852420308</v>
      </c>
      <c r="D93" s="9">
        <v>0.22989593188268684</v>
      </c>
      <c r="E93" s="9">
        <v>0.31049723756906078</v>
      </c>
      <c r="F93" s="9">
        <v>0.27646454265159304</v>
      </c>
      <c r="G93" s="9">
        <v>0.25075834175935285</v>
      </c>
      <c r="H93" s="9">
        <f t="shared" si="39"/>
        <v>0.26864035087719296</v>
      </c>
      <c r="I93" s="9">
        <f t="shared" si="37"/>
        <v>0.28957915831663328</v>
      </c>
      <c r="J93" s="9">
        <f t="shared" si="38"/>
        <v>0.28458498023715417</v>
      </c>
      <c r="K93" s="9">
        <f>+AA93/AB93</f>
        <v>0.31284916201117319</v>
      </c>
      <c r="L93" s="9">
        <f t="shared" si="32"/>
        <v>0.32088122605363983</v>
      </c>
      <c r="M93" s="9">
        <f t="shared" si="33"/>
        <v>0.30299896587383662</v>
      </c>
      <c r="N93" s="54">
        <f t="shared" si="31"/>
        <v>0.30630630630630629</v>
      </c>
      <c r="O93" s="18">
        <v>462</v>
      </c>
      <c r="P93" s="20">
        <f>204+45</f>
        <v>249</v>
      </c>
      <c r="Q93" s="20">
        <f>196+47</f>
        <v>243</v>
      </c>
      <c r="R93" s="20">
        <f>213+68</f>
        <v>281</v>
      </c>
      <c r="S93" s="20">
        <f>208+61</f>
        <v>269</v>
      </c>
      <c r="T93" s="20">
        <f>184+64</f>
        <v>248</v>
      </c>
      <c r="U93" s="20">
        <f>207+38</f>
        <v>245</v>
      </c>
      <c r="V93" s="1">
        <v>912</v>
      </c>
      <c r="W93" s="20">
        <f>239+50</f>
        <v>289</v>
      </c>
      <c r="X93" s="1">
        <v>998</v>
      </c>
      <c r="Y93" s="20">
        <f>253+35</f>
        <v>288</v>
      </c>
      <c r="Z93" s="20">
        <v>1012</v>
      </c>
      <c r="AA93" s="20">
        <f>292+44</f>
        <v>336</v>
      </c>
      <c r="AB93" s="1">
        <v>1074</v>
      </c>
      <c r="AC93" s="20">
        <v>335</v>
      </c>
      <c r="AD93" s="20">
        <v>1044</v>
      </c>
      <c r="AE93" s="20">
        <v>293</v>
      </c>
      <c r="AF93" s="1">
        <v>967</v>
      </c>
      <c r="AG93" s="67">
        <v>306</v>
      </c>
      <c r="AH93" s="41">
        <v>999</v>
      </c>
    </row>
    <row r="94" spans="1:34" ht="12.75" customHeight="1">
      <c r="A94" s="2" t="s">
        <v>24</v>
      </c>
      <c r="B94" s="8">
        <v>0.35750734927061956</v>
      </c>
      <c r="C94" s="9">
        <v>0.38176245210727972</v>
      </c>
      <c r="D94" s="9">
        <v>0.38227963989624131</v>
      </c>
      <c r="E94" s="9">
        <v>0.35726112268333066</v>
      </c>
      <c r="F94" s="9">
        <v>0.3629361354825546</v>
      </c>
      <c r="G94" s="9">
        <v>0.36457207469362646</v>
      </c>
      <c r="H94" s="9">
        <f t="shared" si="39"/>
        <v>0.416499385804596</v>
      </c>
      <c r="I94" s="9">
        <f t="shared" si="37"/>
        <v>0.41736336998306406</v>
      </c>
      <c r="J94" s="9">
        <f t="shared" si="38"/>
        <v>0.43476974392080914</v>
      </c>
      <c r="K94" s="9">
        <f>+AA94/AB94</f>
        <v>0.43114967462039044</v>
      </c>
      <c r="L94" s="9">
        <f t="shared" si="32"/>
        <v>0.44221013160797001</v>
      </c>
      <c r="M94" s="9">
        <f t="shared" si="33"/>
        <v>0.44821264894592117</v>
      </c>
      <c r="N94" s="54">
        <f t="shared" si="31"/>
        <v>0.4221848624167982</v>
      </c>
      <c r="O94" s="18">
        <f t="shared" ref="O94:T94" si="40">SUM(O69:O93)</f>
        <v>12891</v>
      </c>
      <c r="P94" s="20">
        <f t="shared" si="40"/>
        <v>22419</v>
      </c>
      <c r="Q94" s="20">
        <f t="shared" si="40"/>
        <v>22548</v>
      </c>
      <c r="R94" s="20">
        <f t="shared" si="40"/>
        <v>20067</v>
      </c>
      <c r="S94" s="20">
        <f t="shared" si="40"/>
        <v>21345</v>
      </c>
      <c r="T94" s="20">
        <f t="shared" si="40"/>
        <v>21925</v>
      </c>
      <c r="U94" s="20">
        <f t="shared" ref="U94:Z94" si="41">SUM(U71:U93)</f>
        <v>27803</v>
      </c>
      <c r="V94" s="1">
        <f t="shared" si="41"/>
        <v>66754</v>
      </c>
      <c r="W94" s="20">
        <f t="shared" si="41"/>
        <v>31051</v>
      </c>
      <c r="X94" s="20">
        <f t="shared" si="41"/>
        <v>74398</v>
      </c>
      <c r="Y94" s="20">
        <f t="shared" si="41"/>
        <v>32326</v>
      </c>
      <c r="Z94" s="20">
        <f t="shared" si="41"/>
        <v>74352</v>
      </c>
      <c r="AA94" s="20">
        <f t="shared" ref="AA94:AG94" si="42">SUM(AA69:AA93)</f>
        <v>34783</v>
      </c>
      <c r="AB94" s="20">
        <f t="shared" si="42"/>
        <v>80675</v>
      </c>
      <c r="AC94" s="20">
        <f t="shared" si="42"/>
        <v>36087</v>
      </c>
      <c r="AD94" s="20">
        <f t="shared" si="42"/>
        <v>81606</v>
      </c>
      <c r="AE94" s="20">
        <f t="shared" si="42"/>
        <v>37164</v>
      </c>
      <c r="AF94" s="1">
        <f t="shared" si="42"/>
        <v>82916</v>
      </c>
      <c r="AG94" s="67">
        <f t="shared" si="42"/>
        <v>36915</v>
      </c>
      <c r="AH94" s="41">
        <f t="shared" ref="AH94" si="43">SUM(AH69:AH93)</f>
        <v>87438</v>
      </c>
    </row>
    <row r="95" spans="1:34" ht="12.75" customHeight="1">
      <c r="A95" s="2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54"/>
      <c r="O95" s="18"/>
      <c r="P95" s="20"/>
      <c r="Q95" s="20"/>
      <c r="R95" s="20"/>
      <c r="S95" s="20"/>
      <c r="T95" s="20"/>
      <c r="U95" s="20"/>
      <c r="X95" s="20"/>
      <c r="Y95" s="20"/>
      <c r="AA95" s="20"/>
      <c r="AG95" s="67"/>
      <c r="AH95" s="40"/>
    </row>
    <row r="96" spans="1:34" ht="45" customHeight="1">
      <c r="A96" s="25" t="s">
        <v>77</v>
      </c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54"/>
      <c r="O96" s="18"/>
      <c r="P96" s="20"/>
      <c r="Q96" s="20"/>
      <c r="R96" s="20"/>
      <c r="S96" s="20"/>
      <c r="T96" s="20"/>
      <c r="U96" s="20"/>
      <c r="X96" s="20"/>
      <c r="Y96" s="20"/>
      <c r="AA96" s="20"/>
      <c r="AG96" s="67"/>
      <c r="AH96" s="40"/>
    </row>
    <row r="97" spans="1:34" ht="12.75" customHeight="1">
      <c r="A97" s="19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54"/>
      <c r="O97" s="18"/>
      <c r="P97" s="20"/>
      <c r="Q97" s="20"/>
      <c r="R97" s="20"/>
      <c r="S97" s="20"/>
      <c r="T97" s="20"/>
      <c r="U97" s="20"/>
      <c r="X97" s="20"/>
      <c r="Y97" s="20"/>
      <c r="AA97" s="20"/>
      <c r="AG97" s="67"/>
      <c r="AH97" s="40"/>
    </row>
    <row r="98" spans="1:34" ht="12.75" customHeight="1">
      <c r="A98" s="2" t="s">
        <v>78</v>
      </c>
      <c r="B98" s="10" t="s">
        <v>30</v>
      </c>
      <c r="C98" s="9">
        <v>0.89836065573770496</v>
      </c>
      <c r="D98" s="9">
        <v>0.85661764705882348</v>
      </c>
      <c r="E98" s="9">
        <v>0.90808823529411764</v>
      </c>
      <c r="F98" s="9">
        <v>0.85530546623794212</v>
      </c>
      <c r="G98" s="9">
        <v>0.84969325153374231</v>
      </c>
      <c r="H98" s="9">
        <f>+U98/V98</f>
        <v>0.86885245901639341</v>
      </c>
      <c r="I98" s="9">
        <f t="shared" si="37"/>
        <v>1</v>
      </c>
      <c r="J98" s="9">
        <f>+Y98/Z98</f>
        <v>0.85925925925925928</v>
      </c>
      <c r="K98" s="9">
        <f t="shared" ref="K98:K108" si="44">+AA98/AB98</f>
        <v>0.89542483660130723</v>
      </c>
      <c r="L98" s="9">
        <f>AC98/AD98</f>
        <v>0.89308176100628933</v>
      </c>
      <c r="M98" s="9">
        <f t="shared" ref="M98:M104" si="45">AE98/AF98</f>
        <v>0.83177570093457942</v>
      </c>
      <c r="N98" s="54">
        <f t="shared" ref="N98:N104" si="46">AG98/AH98</f>
        <v>0.77643504531722052</v>
      </c>
      <c r="O98" s="26" t="s">
        <v>30</v>
      </c>
      <c r="P98" s="20">
        <f>239+35</f>
        <v>274</v>
      </c>
      <c r="Q98" s="20">
        <f>203+30</f>
        <v>233</v>
      </c>
      <c r="R98" s="20">
        <f>215+32</f>
        <v>247</v>
      </c>
      <c r="S98" s="20">
        <f>235+31</f>
        <v>266</v>
      </c>
      <c r="T98" s="20">
        <f>251+26</f>
        <v>277</v>
      </c>
      <c r="U98" s="20">
        <f>225+40</f>
        <v>265</v>
      </c>
      <c r="V98" s="1">
        <v>305</v>
      </c>
      <c r="W98" s="20">
        <f>225+40</f>
        <v>265</v>
      </c>
      <c r="X98" s="20">
        <f>225+40</f>
        <v>265</v>
      </c>
      <c r="Y98" s="1">
        <f>199+33</f>
        <v>232</v>
      </c>
      <c r="Z98" s="20">
        <v>270</v>
      </c>
      <c r="AA98" s="20">
        <v>274</v>
      </c>
      <c r="AB98" s="1">
        <v>306</v>
      </c>
      <c r="AC98" s="1">
        <v>284</v>
      </c>
      <c r="AD98" s="1">
        <v>318</v>
      </c>
      <c r="AE98" s="1">
        <v>267</v>
      </c>
      <c r="AF98" s="1">
        <v>321</v>
      </c>
      <c r="AG98" s="67">
        <v>257</v>
      </c>
      <c r="AH98" s="40">
        <v>331</v>
      </c>
    </row>
    <row r="99" spans="1:34" ht="12.75" hidden="1" customHeight="1">
      <c r="A99" s="2" t="s">
        <v>79</v>
      </c>
      <c r="B99" s="8">
        <v>0.78688524590163933</v>
      </c>
      <c r="C99" s="9">
        <v>0.56804733727810652</v>
      </c>
      <c r="D99" s="9">
        <v>0.4826086956521739</v>
      </c>
      <c r="E99" s="11" t="s">
        <v>30</v>
      </c>
      <c r="F99" s="11" t="s">
        <v>80</v>
      </c>
      <c r="G99" s="11" t="s">
        <v>80</v>
      </c>
      <c r="H99" s="11" t="s">
        <v>80</v>
      </c>
      <c r="I99" s="11" t="s">
        <v>80</v>
      </c>
      <c r="J99" s="11" t="s">
        <v>80</v>
      </c>
      <c r="K99" s="11" t="s">
        <v>80</v>
      </c>
      <c r="L99" s="9" t="e">
        <f t="shared" ref="L99:L108" si="47">AC99/AD99</f>
        <v>#DIV/0!</v>
      </c>
      <c r="M99" s="9" t="e">
        <f t="shared" si="45"/>
        <v>#DIV/0!</v>
      </c>
      <c r="N99" s="54" t="e">
        <f t="shared" si="46"/>
        <v>#DIV/0!</v>
      </c>
      <c r="O99" s="18">
        <v>96</v>
      </c>
      <c r="P99" s="20">
        <f>185+7</f>
        <v>192</v>
      </c>
      <c r="Q99" s="20">
        <f>103+3+5</f>
        <v>111</v>
      </c>
      <c r="R99" s="27" t="s">
        <v>30</v>
      </c>
      <c r="S99" s="27" t="s">
        <v>80</v>
      </c>
      <c r="T99" s="27" t="s">
        <v>80</v>
      </c>
      <c r="U99" s="27" t="s">
        <v>80</v>
      </c>
      <c r="W99" s="27" t="s">
        <v>80</v>
      </c>
      <c r="Y99" s="27" t="s">
        <v>80</v>
      </c>
      <c r="Z99" s="27" t="s">
        <v>80</v>
      </c>
      <c r="AA99" s="27" t="s">
        <v>80</v>
      </c>
      <c r="AG99" s="67">
        <v>0</v>
      </c>
      <c r="AH99" s="40"/>
    </row>
    <row r="100" spans="1:34" ht="12.75" hidden="1" customHeight="1">
      <c r="A100" s="2" t="s">
        <v>81</v>
      </c>
      <c r="B100" s="10" t="s">
        <v>32</v>
      </c>
      <c r="C100" s="11" t="s">
        <v>32</v>
      </c>
      <c r="D100" s="11" t="s">
        <v>32</v>
      </c>
      <c r="E100" s="11" t="s">
        <v>32</v>
      </c>
      <c r="F100" s="11" t="s">
        <v>32</v>
      </c>
      <c r="G100" s="11" t="s">
        <v>32</v>
      </c>
      <c r="H100" s="11" t="s">
        <v>32</v>
      </c>
      <c r="I100" s="11" t="s">
        <v>32</v>
      </c>
      <c r="J100" s="11" t="s">
        <v>32</v>
      </c>
      <c r="K100" s="11" t="s">
        <v>32</v>
      </c>
      <c r="L100" s="9" t="e">
        <f t="shared" si="47"/>
        <v>#DIV/0!</v>
      </c>
      <c r="M100" s="9" t="e">
        <f t="shared" si="45"/>
        <v>#DIV/0!</v>
      </c>
      <c r="N100" s="54" t="e">
        <f t="shared" si="46"/>
        <v>#DIV/0!</v>
      </c>
      <c r="O100" s="11" t="s">
        <v>32</v>
      </c>
      <c r="P100" s="29" t="s">
        <v>32</v>
      </c>
      <c r="Q100" s="29" t="s">
        <v>32</v>
      </c>
      <c r="R100" s="29" t="s">
        <v>32</v>
      </c>
      <c r="S100" s="29" t="s">
        <v>32</v>
      </c>
      <c r="T100" s="29" t="s">
        <v>32</v>
      </c>
      <c r="U100" s="27" t="s">
        <v>32</v>
      </c>
      <c r="W100" s="27" t="s">
        <v>32</v>
      </c>
      <c r="Y100" s="27" t="s">
        <v>32</v>
      </c>
      <c r="Z100" s="27" t="s">
        <v>32</v>
      </c>
      <c r="AA100" s="27" t="s">
        <v>32</v>
      </c>
      <c r="AG100" s="67"/>
      <c r="AH100" s="40"/>
    </row>
    <row r="101" spans="1:34" ht="12.75" hidden="1" customHeight="1">
      <c r="A101" s="2" t="s">
        <v>82</v>
      </c>
      <c r="B101" s="8">
        <v>1.5625000000000001E-3</v>
      </c>
      <c r="C101" s="11" t="s">
        <v>32</v>
      </c>
      <c r="D101" s="11" t="s">
        <v>32</v>
      </c>
      <c r="E101" s="11" t="s">
        <v>32</v>
      </c>
      <c r="F101" s="11" t="s">
        <v>32</v>
      </c>
      <c r="G101" s="11" t="s">
        <v>32</v>
      </c>
      <c r="H101" s="11" t="s">
        <v>32</v>
      </c>
      <c r="I101" s="11" t="s">
        <v>32</v>
      </c>
      <c r="J101" s="11" t="s">
        <v>32</v>
      </c>
      <c r="K101" s="11" t="s">
        <v>32</v>
      </c>
      <c r="L101" s="9" t="e">
        <f t="shared" si="47"/>
        <v>#DIV/0!</v>
      </c>
      <c r="M101" s="9" t="e">
        <f t="shared" si="45"/>
        <v>#DIV/0!</v>
      </c>
      <c r="N101" s="54" t="e">
        <f t="shared" si="46"/>
        <v>#DIV/0!</v>
      </c>
      <c r="O101" s="18">
        <v>1</v>
      </c>
      <c r="P101" s="27" t="s">
        <v>32</v>
      </c>
      <c r="Q101" s="27" t="s">
        <v>32</v>
      </c>
      <c r="R101" s="27" t="s">
        <v>32</v>
      </c>
      <c r="S101" s="29" t="s">
        <v>32</v>
      </c>
      <c r="T101" s="29" t="s">
        <v>32</v>
      </c>
      <c r="U101" s="27" t="s">
        <v>32</v>
      </c>
      <c r="W101" s="27" t="s">
        <v>32</v>
      </c>
      <c r="Y101" s="27" t="s">
        <v>32</v>
      </c>
      <c r="Z101" s="27" t="s">
        <v>32</v>
      </c>
      <c r="AA101" s="27" t="s">
        <v>32</v>
      </c>
      <c r="AG101" s="67"/>
      <c r="AH101" s="40"/>
    </row>
    <row r="102" spans="1:34" ht="12.75" hidden="1" customHeight="1">
      <c r="A102" s="2" t="s">
        <v>83</v>
      </c>
      <c r="B102" s="8">
        <v>0.33576642335766421</v>
      </c>
      <c r="C102" s="11" t="s">
        <v>32</v>
      </c>
      <c r="D102" s="11" t="s">
        <v>32</v>
      </c>
      <c r="E102" s="11" t="s">
        <v>32</v>
      </c>
      <c r="F102" s="11" t="s">
        <v>32</v>
      </c>
      <c r="G102" s="11" t="s">
        <v>32</v>
      </c>
      <c r="H102" s="11" t="s">
        <v>32</v>
      </c>
      <c r="I102" s="11" t="s">
        <v>32</v>
      </c>
      <c r="J102" s="11" t="s">
        <v>32</v>
      </c>
      <c r="K102" s="11" t="s">
        <v>32</v>
      </c>
      <c r="L102" s="9" t="e">
        <f t="shared" si="47"/>
        <v>#DIV/0!</v>
      </c>
      <c r="M102" s="9" t="e">
        <f t="shared" si="45"/>
        <v>#DIV/0!</v>
      </c>
      <c r="N102" s="54" t="e">
        <f t="shared" si="46"/>
        <v>#DIV/0!</v>
      </c>
      <c r="O102" s="18">
        <v>46</v>
      </c>
      <c r="P102" s="27" t="s">
        <v>32</v>
      </c>
      <c r="Q102" s="27" t="s">
        <v>32</v>
      </c>
      <c r="R102" s="27" t="s">
        <v>32</v>
      </c>
      <c r="S102" s="29" t="s">
        <v>32</v>
      </c>
      <c r="T102" s="29" t="s">
        <v>32</v>
      </c>
      <c r="U102" s="27" t="s">
        <v>32</v>
      </c>
      <c r="W102" s="27" t="s">
        <v>32</v>
      </c>
      <c r="Y102" s="27" t="s">
        <v>32</v>
      </c>
      <c r="Z102" s="27" t="s">
        <v>32</v>
      </c>
      <c r="AA102" s="27" t="s">
        <v>32</v>
      </c>
      <c r="AG102" s="67"/>
      <c r="AH102" s="40"/>
    </row>
    <row r="103" spans="1:34" ht="12.75" customHeight="1">
      <c r="A103" s="30" t="s">
        <v>84</v>
      </c>
      <c r="B103" s="8">
        <v>0.34051724137931033</v>
      </c>
      <c r="C103" s="9">
        <v>0.21656050955414013</v>
      </c>
      <c r="D103" s="9">
        <v>0.20963172804532579</v>
      </c>
      <c r="E103" s="9">
        <v>0.22190201729106629</v>
      </c>
      <c r="F103" s="9">
        <v>0.2773972602739726</v>
      </c>
      <c r="G103" s="9">
        <v>0.25641025641025639</v>
      </c>
      <c r="H103" s="9">
        <f>+U103/V103</f>
        <v>0.17777777777777778</v>
      </c>
      <c r="I103" s="9">
        <f t="shared" si="37"/>
        <v>0.11438474870017332</v>
      </c>
      <c r="J103" s="9">
        <f>+Y103/Z103</f>
        <v>0.15185783521809371</v>
      </c>
      <c r="K103" s="9">
        <f t="shared" si="44"/>
        <v>0.25905292479108633</v>
      </c>
      <c r="L103" s="9">
        <f t="shared" si="47"/>
        <v>0.25806451612903225</v>
      </c>
      <c r="M103" s="9">
        <f t="shared" si="45"/>
        <v>0.21866666666666668</v>
      </c>
      <c r="N103" s="54" t="e">
        <f t="shared" si="46"/>
        <v>#VALUE!</v>
      </c>
      <c r="O103" s="18">
        <v>79</v>
      </c>
      <c r="P103" s="20">
        <v>68</v>
      </c>
      <c r="Q103" s="20">
        <v>74</v>
      </c>
      <c r="R103" s="20">
        <v>77</v>
      </c>
      <c r="S103" s="27">
        <f>62+1+18</f>
        <v>81</v>
      </c>
      <c r="T103" s="27">
        <f>48+8+24</f>
        <v>80</v>
      </c>
      <c r="U103" s="20">
        <v>40</v>
      </c>
      <c r="V103" s="1">
        <v>225</v>
      </c>
      <c r="W103" s="20">
        <f>57+8+1</f>
        <v>66</v>
      </c>
      <c r="X103" s="1">
        <f>583-6</f>
        <v>577</v>
      </c>
      <c r="Y103" s="1">
        <f>65+4+25</f>
        <v>94</v>
      </c>
      <c r="Z103" s="20">
        <v>619</v>
      </c>
      <c r="AA103" s="20">
        <f>78+1+14</f>
        <v>93</v>
      </c>
      <c r="AB103" s="1">
        <v>359</v>
      </c>
      <c r="AC103" s="1">
        <v>64</v>
      </c>
      <c r="AD103" s="1">
        <v>248</v>
      </c>
      <c r="AE103" s="1">
        <v>246</v>
      </c>
      <c r="AF103" s="1">
        <v>1125</v>
      </c>
      <c r="AG103" s="67" t="s">
        <v>102</v>
      </c>
      <c r="AH103" s="40">
        <v>1588</v>
      </c>
    </row>
    <row r="104" spans="1:34" ht="12.75" customHeight="1">
      <c r="A104" s="2" t="s">
        <v>24</v>
      </c>
      <c r="B104" s="8">
        <v>0.19628647214854111</v>
      </c>
      <c r="C104" s="9">
        <v>0.55799373040752354</v>
      </c>
      <c r="D104" s="9">
        <v>0.48888888888888887</v>
      </c>
      <c r="E104" s="9">
        <v>0.52342487883683364</v>
      </c>
      <c r="F104" s="9">
        <v>0.57545605306799341</v>
      </c>
      <c r="G104" s="9">
        <v>0.55956112852664575</v>
      </c>
      <c r="H104" s="9">
        <f>+U104/V104</f>
        <v>0.57547169811320753</v>
      </c>
      <c r="I104" s="9">
        <f t="shared" si="37"/>
        <v>0.39311163895486934</v>
      </c>
      <c r="J104" s="9">
        <f>+Y104/Z104</f>
        <v>0.36670416197975253</v>
      </c>
      <c r="K104" s="9">
        <f t="shared" si="44"/>
        <v>0.5518796992481203</v>
      </c>
      <c r="L104" s="9">
        <f t="shared" si="47"/>
        <v>0.61484098939929333</v>
      </c>
      <c r="M104" s="9">
        <f t="shared" si="45"/>
        <v>0.35477178423236516</v>
      </c>
      <c r="N104" s="54">
        <f t="shared" si="46"/>
        <v>0.13392391870766024</v>
      </c>
      <c r="O104" s="18">
        <f t="shared" ref="O104:T104" si="48">SUM(O98:O103)</f>
        <v>222</v>
      </c>
      <c r="P104" s="20">
        <f t="shared" si="48"/>
        <v>534</v>
      </c>
      <c r="Q104" s="20">
        <f t="shared" si="48"/>
        <v>418</v>
      </c>
      <c r="R104" s="20">
        <f t="shared" si="48"/>
        <v>324</v>
      </c>
      <c r="S104" s="20">
        <f t="shared" si="48"/>
        <v>347</v>
      </c>
      <c r="T104" s="20">
        <f t="shared" si="48"/>
        <v>357</v>
      </c>
      <c r="U104" s="20">
        <f t="shared" ref="U104:Z104" si="49">SUM(U98:U103)</f>
        <v>305</v>
      </c>
      <c r="V104" s="1">
        <f t="shared" si="49"/>
        <v>530</v>
      </c>
      <c r="W104" s="20">
        <f t="shared" si="49"/>
        <v>331</v>
      </c>
      <c r="X104" s="20">
        <f t="shared" si="49"/>
        <v>842</v>
      </c>
      <c r="Y104" s="20">
        <f t="shared" si="49"/>
        <v>326</v>
      </c>
      <c r="Z104" s="20">
        <f t="shared" si="49"/>
        <v>889</v>
      </c>
      <c r="AA104" s="20">
        <f t="shared" ref="AA104:AG104" si="50">SUM(AA98:AA103)</f>
        <v>367</v>
      </c>
      <c r="AB104" s="20">
        <f t="shared" si="50"/>
        <v>665</v>
      </c>
      <c r="AC104" s="20">
        <f t="shared" si="50"/>
        <v>348</v>
      </c>
      <c r="AD104" s="20">
        <f t="shared" si="50"/>
        <v>566</v>
      </c>
      <c r="AE104" s="1">
        <f t="shared" si="50"/>
        <v>513</v>
      </c>
      <c r="AF104" s="1">
        <f t="shared" si="50"/>
        <v>1446</v>
      </c>
      <c r="AG104" s="67">
        <f t="shared" si="50"/>
        <v>257</v>
      </c>
      <c r="AH104" s="40">
        <f t="shared" ref="AH104" si="51">SUM(AH98:AH103)</f>
        <v>1919</v>
      </c>
    </row>
    <row r="105" spans="1:34" ht="12.75" customHeight="1">
      <c r="A105" s="2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54"/>
      <c r="O105" s="18"/>
      <c r="P105" s="20"/>
      <c r="Q105" s="20"/>
      <c r="R105" s="20"/>
      <c r="S105" s="20"/>
      <c r="T105" s="20"/>
      <c r="U105" s="20"/>
      <c r="X105" s="20"/>
      <c r="Y105" s="20"/>
      <c r="AA105" s="20"/>
      <c r="AG105" s="67"/>
      <c r="AH105" s="40"/>
    </row>
    <row r="106" spans="1:34" ht="20.100000000000001" customHeight="1">
      <c r="A106" s="31" t="s">
        <v>85</v>
      </c>
      <c r="B106" s="44">
        <v>0.35260426470192802</v>
      </c>
      <c r="C106" s="45">
        <v>0.38458831808585503</v>
      </c>
      <c r="D106" s="45">
        <v>0.38380293459005982</v>
      </c>
      <c r="E106" s="45">
        <v>0.35907233922659715</v>
      </c>
      <c r="F106" s="45">
        <v>0.36509298998569384</v>
      </c>
      <c r="G106" s="45">
        <v>0.36661895124800498</v>
      </c>
      <c r="H106" s="45">
        <f>+U106/V106</f>
        <v>0.417751619998811</v>
      </c>
      <c r="I106" s="45">
        <f t="shared" si="37"/>
        <v>0.41709197235513024</v>
      </c>
      <c r="J106" s="45">
        <f>+Y106/Z106</f>
        <v>0.43396552411584111</v>
      </c>
      <c r="K106" s="45">
        <f t="shared" si="44"/>
        <v>0.43213671010572902</v>
      </c>
      <c r="L106" s="45">
        <f t="shared" si="47"/>
        <v>0.44339921141021271</v>
      </c>
      <c r="M106" s="45">
        <f>AE106/AF106</f>
        <v>0.44661103340366515</v>
      </c>
      <c r="N106" s="55">
        <f>AG106/AH106</f>
        <v>0.41599427017469254</v>
      </c>
      <c r="O106" s="46">
        <f>SUM(O94+O104)</f>
        <v>13113</v>
      </c>
      <c r="P106" s="47">
        <f>SUM(P104+P94)</f>
        <v>22953</v>
      </c>
      <c r="Q106" s="47">
        <f>SUM(Q104+Q94)</f>
        <v>22966</v>
      </c>
      <c r="R106" s="47">
        <f>SUM(R104+R94)</f>
        <v>20391</v>
      </c>
      <c r="S106" s="47">
        <f>SUM(S104+S94)</f>
        <v>21692</v>
      </c>
      <c r="T106" s="47">
        <f>SUM(T104+T94)</f>
        <v>22282</v>
      </c>
      <c r="U106" s="47">
        <f t="shared" ref="U106:Z106" si="52">SUM(U94+U104)</f>
        <v>28108</v>
      </c>
      <c r="V106" s="6">
        <f t="shared" si="52"/>
        <v>67284</v>
      </c>
      <c r="W106" s="47">
        <f t="shared" si="52"/>
        <v>31382</v>
      </c>
      <c r="X106" s="47">
        <f t="shared" si="52"/>
        <v>75240</v>
      </c>
      <c r="Y106" s="47">
        <f t="shared" si="52"/>
        <v>32652</v>
      </c>
      <c r="Z106" s="47">
        <f t="shared" si="52"/>
        <v>75241</v>
      </c>
      <c r="AA106" s="47">
        <f>SUM(AA94+AA104)</f>
        <v>35150</v>
      </c>
      <c r="AB106" s="47">
        <f>SUM(AB94+AB104)</f>
        <v>81340</v>
      </c>
      <c r="AC106" s="47">
        <f>SUM(AC94+AC104)</f>
        <v>36435</v>
      </c>
      <c r="AD106" s="47">
        <f>SUM(AD94+AD104)</f>
        <v>82172</v>
      </c>
      <c r="AE106" s="47">
        <f>AE104+AE94</f>
        <v>37677</v>
      </c>
      <c r="AF106" s="6">
        <f>AF104+AF94</f>
        <v>84362</v>
      </c>
      <c r="AG106" s="72">
        <f>AG104+AG94</f>
        <v>37172</v>
      </c>
      <c r="AH106" s="48">
        <f>AH104+AH94</f>
        <v>89357</v>
      </c>
    </row>
    <row r="107" spans="1:34" ht="12.75" customHeight="1">
      <c r="A107" s="17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54"/>
      <c r="O107" s="18"/>
      <c r="P107" s="20"/>
      <c r="Q107" s="20"/>
      <c r="R107" s="20"/>
      <c r="S107" s="20"/>
      <c r="T107" s="20"/>
      <c r="U107" s="20"/>
      <c r="X107" s="20"/>
      <c r="Y107" s="20"/>
      <c r="AA107" s="20"/>
      <c r="AB107" s="20"/>
      <c r="AC107" s="20"/>
      <c r="AD107" s="20"/>
      <c r="AG107" s="67"/>
      <c r="AH107" s="49"/>
    </row>
    <row r="108" spans="1:34" ht="12.75" customHeight="1" thickBot="1">
      <c r="A108" s="57" t="s">
        <v>86</v>
      </c>
      <c r="B108" s="9">
        <v>0.13593148880105402</v>
      </c>
      <c r="C108" s="9">
        <v>0.17136258259457676</v>
      </c>
      <c r="D108" s="9">
        <v>0.17043048996837531</v>
      </c>
      <c r="E108" s="9">
        <v>0.16099885773935066</v>
      </c>
      <c r="F108" s="9">
        <v>0.16376342964431001</v>
      </c>
      <c r="G108" s="9">
        <v>0.16139582933511909</v>
      </c>
      <c r="H108" s="9">
        <f>+U108/V108</f>
        <v>0.17944967937403258</v>
      </c>
      <c r="I108" s="9">
        <f t="shared" si="37"/>
        <v>0.18408504591582794</v>
      </c>
      <c r="J108" s="9">
        <f>+Y108/Z108</f>
        <v>0.18853003595278681</v>
      </c>
      <c r="K108" s="9">
        <f t="shared" si="44"/>
        <v>0.1928580613163357</v>
      </c>
      <c r="L108" s="9">
        <f t="shared" si="47"/>
        <v>0.19937475376825764</v>
      </c>
      <c r="M108" s="9">
        <f>AE108/AF108</f>
        <v>0.19928664419595885</v>
      </c>
      <c r="N108" s="56">
        <f>AG108/AH108</f>
        <v>0.21251349910461637</v>
      </c>
      <c r="O108" s="18">
        <f t="shared" ref="O108:T108" si="53">O106+O52</f>
        <v>25793</v>
      </c>
      <c r="P108" s="18">
        <f t="shared" si="53"/>
        <v>39472</v>
      </c>
      <c r="Q108" s="18">
        <f t="shared" si="53"/>
        <v>39772</v>
      </c>
      <c r="R108" s="18">
        <f t="shared" si="53"/>
        <v>37633</v>
      </c>
      <c r="S108" s="18">
        <f t="shared" si="53"/>
        <v>39250</v>
      </c>
      <c r="T108" s="18">
        <f t="shared" si="53"/>
        <v>39526</v>
      </c>
      <c r="U108" s="20">
        <f t="shared" ref="U108:Z108" si="54">SUM(U106+U52)</f>
        <v>46258</v>
      </c>
      <c r="V108" s="1">
        <f t="shared" si="54"/>
        <v>257777</v>
      </c>
      <c r="W108" s="20">
        <f t="shared" si="54"/>
        <v>48451</v>
      </c>
      <c r="X108" s="20">
        <f t="shared" si="54"/>
        <v>263199</v>
      </c>
      <c r="Y108" s="20">
        <f t="shared" si="54"/>
        <v>49659</v>
      </c>
      <c r="Z108" s="20">
        <f t="shared" si="54"/>
        <v>263401</v>
      </c>
      <c r="AA108" s="20">
        <f>SUM(AA106+AA52)</f>
        <v>52495</v>
      </c>
      <c r="AB108" s="20">
        <f>SUM(AB106+AB52)</f>
        <v>272195</v>
      </c>
      <c r="AC108" s="20">
        <f>SUM(AC106+AC52)</f>
        <v>54655</v>
      </c>
      <c r="AD108" s="20">
        <f>SUM(AD106+AD52)</f>
        <v>274132</v>
      </c>
      <c r="AE108" s="20">
        <f>AE106+AE52</f>
        <v>55873</v>
      </c>
      <c r="AF108" s="20">
        <f>AF106+AF52</f>
        <v>280365</v>
      </c>
      <c r="AG108" s="71">
        <f>AG106+AG52</f>
        <v>62184</v>
      </c>
      <c r="AH108" s="58">
        <f>AH106+AH52</f>
        <v>292612</v>
      </c>
    </row>
    <row r="109" spans="1:34" ht="12.75" customHeight="1" thickTop="1">
      <c r="A109" s="33" t="s">
        <v>48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5"/>
      <c r="P109" s="35"/>
      <c r="Q109" s="35"/>
      <c r="R109" s="35"/>
      <c r="S109" s="35"/>
      <c r="T109" s="35"/>
      <c r="U109" s="33"/>
      <c r="V109" s="33"/>
      <c r="W109" s="35"/>
      <c r="X109" s="33"/>
      <c r="Y109" s="33"/>
      <c r="Z109" s="35"/>
      <c r="AA109" s="35"/>
      <c r="AB109" s="33"/>
      <c r="AC109" s="33"/>
      <c r="AD109" s="33"/>
      <c r="AE109" s="33"/>
      <c r="AF109" s="33"/>
      <c r="AG109" s="73"/>
      <c r="AH109" s="33"/>
    </row>
    <row r="110" spans="1:34" ht="12.75" customHeight="1">
      <c r="A110" s="19" t="s">
        <v>87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0"/>
      <c r="P110" s="20"/>
      <c r="Q110" s="20"/>
      <c r="R110" s="20"/>
      <c r="S110" s="20"/>
      <c r="T110" s="20"/>
      <c r="AA110" s="20"/>
    </row>
    <row r="111" spans="1:34" ht="12.75" customHeight="1">
      <c r="A111" s="19" t="s">
        <v>49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20"/>
      <c r="P111" s="20"/>
      <c r="Q111" s="20"/>
      <c r="R111" s="20"/>
      <c r="S111" s="20"/>
      <c r="T111" s="20"/>
      <c r="AA111" s="20"/>
    </row>
    <row r="112" spans="1:34" ht="12.75" customHeight="1">
      <c r="A112" s="19" t="s">
        <v>88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20"/>
      <c r="P112" s="20"/>
      <c r="Q112" s="20"/>
      <c r="R112" s="20"/>
      <c r="S112" s="20"/>
      <c r="T112" s="20"/>
      <c r="AA112" s="20"/>
    </row>
    <row r="113" spans="1:27" ht="12.75" customHeight="1">
      <c r="A113" s="19" t="s">
        <v>51</v>
      </c>
      <c r="AA113" s="20"/>
    </row>
    <row r="114" spans="1:27" ht="12.75" customHeight="1">
      <c r="A114" s="32"/>
      <c r="AA114" s="20"/>
    </row>
    <row r="115" spans="1:27" ht="12.75" customHeight="1">
      <c r="AA115" s="20"/>
    </row>
    <row r="116" spans="1:27" ht="12.75" customHeight="1">
      <c r="AA116" s="20"/>
    </row>
    <row r="117" spans="1:27" ht="12.75" customHeight="1">
      <c r="AA117" s="20"/>
    </row>
    <row r="118" spans="1:27" ht="12.75" customHeight="1">
      <c r="AA118" s="20"/>
    </row>
    <row r="119" spans="1:27" ht="12.75" customHeight="1">
      <c r="AA119" s="20"/>
    </row>
    <row r="120" spans="1:27" ht="12.75" customHeight="1">
      <c r="AA120" s="20"/>
    </row>
    <row r="121" spans="1:27" ht="12.75" customHeight="1">
      <c r="AA121" s="20"/>
    </row>
    <row r="122" spans="1:27" ht="12.75" customHeight="1">
      <c r="AA122" s="20"/>
    </row>
    <row r="123" spans="1:27" ht="12.75" customHeight="1">
      <c r="AA123" s="20"/>
    </row>
    <row r="124" spans="1:27" ht="12.75" customHeight="1">
      <c r="AA124" s="20"/>
    </row>
    <row r="125" spans="1:27" ht="12.75" customHeight="1">
      <c r="AA125" s="20"/>
    </row>
    <row r="126" spans="1:27" ht="12.75" customHeight="1">
      <c r="AA126" s="20"/>
    </row>
    <row r="127" spans="1:27" ht="12.75" customHeight="1">
      <c r="AA127" s="20"/>
    </row>
    <row r="128" spans="1:27" ht="12.75" customHeight="1">
      <c r="AA128" s="20"/>
    </row>
    <row r="129" spans="27:27" ht="12.75" customHeight="1">
      <c r="AA129" s="20"/>
    </row>
    <row r="130" spans="27:27" ht="12.75" customHeight="1">
      <c r="AA130" s="20"/>
    </row>
    <row r="131" spans="27:27" ht="12.75" customHeight="1">
      <c r="AA131" s="20"/>
    </row>
    <row r="132" spans="27:27" ht="12.75" customHeight="1">
      <c r="AA132" s="20"/>
    </row>
    <row r="133" spans="27:27" ht="12.75" customHeight="1">
      <c r="AA133" s="20"/>
    </row>
    <row r="134" spans="27:27" ht="12.75" customHeight="1">
      <c r="AA134" s="20"/>
    </row>
    <row r="135" spans="27:27" ht="12.75" customHeight="1">
      <c r="AA135" s="20"/>
    </row>
    <row r="136" spans="27:27" ht="12.75" customHeight="1">
      <c r="AA136" s="20"/>
    </row>
    <row r="137" spans="27:27" ht="12.75" customHeight="1">
      <c r="AA137" s="20"/>
    </row>
    <row r="138" spans="27:27" ht="12.75" customHeight="1">
      <c r="AA138" s="20"/>
    </row>
    <row r="139" spans="27:27" ht="12.75" customHeight="1">
      <c r="AA139" s="20"/>
    </row>
    <row r="140" spans="27:27" ht="12.75" customHeight="1">
      <c r="AA140" s="20"/>
    </row>
    <row r="141" spans="27:27" ht="12.75" customHeight="1">
      <c r="AA141" s="20"/>
    </row>
    <row r="142" spans="27:27" ht="12.75" customHeight="1">
      <c r="AA142" s="20"/>
    </row>
    <row r="143" spans="27:27" ht="12.75" customHeight="1">
      <c r="AA143" s="20"/>
    </row>
    <row r="144" spans="27:27" ht="12.75" customHeight="1">
      <c r="AA144" s="20"/>
    </row>
    <row r="145" spans="27:27" ht="12.75" customHeight="1">
      <c r="AA145" s="20"/>
    </row>
    <row r="146" spans="27:27" ht="12.75" customHeight="1">
      <c r="AA146" s="20"/>
    </row>
    <row r="147" spans="27:27" ht="12.75" customHeight="1">
      <c r="AA147" s="20"/>
    </row>
    <row r="148" spans="27:27" ht="12.75" customHeight="1">
      <c r="AA148" s="20"/>
    </row>
    <row r="149" spans="27:27" ht="12.75" customHeight="1">
      <c r="AA149" s="20"/>
    </row>
    <row r="150" spans="27:27" ht="12.75" customHeight="1">
      <c r="AA150" s="20"/>
    </row>
    <row r="151" spans="27:27" ht="12.75" customHeight="1">
      <c r="AA151" s="20"/>
    </row>
    <row r="152" spans="27:27" ht="12.75" customHeight="1">
      <c r="AA152" s="20"/>
    </row>
    <row r="153" spans="27:27" ht="12.75" customHeight="1">
      <c r="AA153" s="20"/>
    </row>
    <row r="154" spans="27:27" ht="12.75" customHeight="1">
      <c r="AA154" s="20"/>
    </row>
    <row r="155" spans="27:27" ht="12.75" customHeight="1">
      <c r="AA155" s="20"/>
    </row>
    <row r="156" spans="27:27" ht="12.75" customHeight="1">
      <c r="AA156" s="20"/>
    </row>
    <row r="157" spans="27:27" ht="12.75" customHeight="1">
      <c r="AA157" s="20"/>
    </row>
    <row r="158" spans="27:27" ht="12.75" customHeight="1">
      <c r="AA158" s="20"/>
    </row>
    <row r="159" spans="27:27" ht="12.75" customHeight="1">
      <c r="AA159" s="20"/>
    </row>
    <row r="160" spans="27:27" ht="12.75" customHeight="1">
      <c r="AA160" s="20"/>
    </row>
    <row r="161" spans="27:27" ht="12.75" customHeight="1">
      <c r="AA161" s="20"/>
    </row>
    <row r="162" spans="27:27" ht="12.75" customHeight="1">
      <c r="AA162" s="20"/>
    </row>
    <row r="163" spans="27:27" ht="12.75" customHeight="1">
      <c r="AA163" s="20"/>
    </row>
    <row r="164" spans="27:27" ht="12.75" customHeight="1">
      <c r="AA164" s="20"/>
    </row>
    <row r="165" spans="27:27" ht="12.75" customHeight="1">
      <c r="AA165" s="20"/>
    </row>
    <row r="166" spans="27:27" ht="12.75" customHeight="1">
      <c r="AA166" s="20"/>
    </row>
    <row r="167" spans="27:27" ht="12.75" customHeight="1">
      <c r="AA167" s="20"/>
    </row>
    <row r="168" spans="27:27" ht="12.75" customHeight="1">
      <c r="AA168" s="20"/>
    </row>
    <row r="169" spans="27:27" ht="12.75" customHeight="1">
      <c r="AA169" s="20"/>
    </row>
    <row r="170" spans="27:27" ht="12.75" customHeight="1">
      <c r="AA170" s="20"/>
    </row>
    <row r="171" spans="27:27" ht="12.75" customHeight="1">
      <c r="AA171" s="20"/>
    </row>
    <row r="172" spans="27:27" ht="12.75" customHeight="1">
      <c r="AA172" s="20"/>
    </row>
    <row r="173" spans="27:27" ht="12.75" customHeight="1">
      <c r="AA173" s="20"/>
    </row>
    <row r="174" spans="27:27" ht="12.75" customHeight="1">
      <c r="AA174" s="20"/>
    </row>
    <row r="175" spans="27:27" ht="12.75" customHeight="1">
      <c r="AA175" s="20"/>
    </row>
    <row r="176" spans="27:27" ht="12.75" customHeight="1">
      <c r="AA176" s="20"/>
    </row>
    <row r="177" spans="27:27" ht="12.75" customHeight="1">
      <c r="AA177" s="20"/>
    </row>
    <row r="178" spans="27:27" ht="12.75" customHeight="1">
      <c r="AA178" s="20"/>
    </row>
    <row r="179" spans="27:27" ht="12.75" customHeight="1">
      <c r="AA179" s="20"/>
    </row>
    <row r="180" spans="27:27" ht="12.75" customHeight="1">
      <c r="AA180" s="20"/>
    </row>
    <row r="181" spans="27:27" ht="12.75" customHeight="1">
      <c r="AA181" s="20"/>
    </row>
    <row r="182" spans="27:27" ht="12.75" customHeight="1">
      <c r="AA182" s="20"/>
    </row>
    <row r="183" spans="27:27" ht="12.75" customHeight="1">
      <c r="AA183" s="20"/>
    </row>
    <row r="184" spans="27:27" ht="12.75" customHeight="1">
      <c r="AA184" s="20"/>
    </row>
    <row r="185" spans="27:27" ht="12.75" customHeight="1">
      <c r="AA185" s="20"/>
    </row>
    <row r="186" spans="27:27" ht="12.75" customHeight="1">
      <c r="AA186" s="20"/>
    </row>
    <row r="187" spans="27:27" ht="12.75" customHeight="1">
      <c r="AA187" s="20"/>
    </row>
    <row r="188" spans="27:27" ht="12.75" customHeight="1">
      <c r="AA188" s="20"/>
    </row>
    <row r="189" spans="27:27" ht="12.75" customHeight="1">
      <c r="AA189" s="20"/>
    </row>
    <row r="190" spans="27:27" ht="12.75" customHeight="1">
      <c r="AA190" s="20"/>
    </row>
    <row r="191" spans="27:27" ht="12.75" customHeight="1">
      <c r="AA191" s="20"/>
    </row>
    <row r="192" spans="27:27" ht="12.75" customHeight="1">
      <c r="AA192" s="20"/>
    </row>
    <row r="193" spans="27:27" ht="12.75" customHeight="1">
      <c r="AA193" s="20"/>
    </row>
    <row r="194" spans="27:27" ht="12.75" customHeight="1">
      <c r="AA194" s="20"/>
    </row>
    <row r="195" spans="27:27" ht="12.75" customHeight="1">
      <c r="AA195" s="20"/>
    </row>
    <row r="196" spans="27:27" ht="12.75" customHeight="1">
      <c r="AA196" s="20"/>
    </row>
    <row r="197" spans="27:27" ht="12.75" customHeight="1">
      <c r="AA197" s="20"/>
    </row>
    <row r="198" spans="27:27" ht="12.75" customHeight="1">
      <c r="AA198" s="20"/>
    </row>
    <row r="199" spans="27:27" ht="12.75" customHeight="1">
      <c r="AA199" s="20"/>
    </row>
    <row r="200" spans="27:27" ht="12.75" customHeight="1">
      <c r="AA200" s="20"/>
    </row>
    <row r="201" spans="27:27" ht="12.75" customHeight="1">
      <c r="AA201" s="20"/>
    </row>
    <row r="202" spans="27:27" ht="12.75" customHeight="1">
      <c r="AA202" s="20"/>
    </row>
    <row r="203" spans="27:27" ht="12.75" customHeight="1">
      <c r="AA203" s="20"/>
    </row>
    <row r="204" spans="27:27">
      <c r="AA204" s="20"/>
    </row>
    <row r="205" spans="27:27">
      <c r="AA205" s="20"/>
    </row>
    <row r="206" spans="27:27">
      <c r="AA206" s="20"/>
    </row>
    <row r="207" spans="27:27">
      <c r="AA207" s="20"/>
    </row>
    <row r="208" spans="27:27">
      <c r="AA208" s="20"/>
    </row>
    <row r="209" spans="27:27">
      <c r="AA209" s="20"/>
    </row>
    <row r="210" spans="27:27">
      <c r="AA210" s="20"/>
    </row>
    <row r="211" spans="27:27">
      <c r="AA211" s="20"/>
    </row>
    <row r="212" spans="27:27">
      <c r="AA212" s="20"/>
    </row>
    <row r="213" spans="27:27">
      <c r="AA213" s="20"/>
    </row>
    <row r="214" spans="27:27">
      <c r="AA214" s="20"/>
    </row>
    <row r="215" spans="27:27">
      <c r="AA215" s="20"/>
    </row>
    <row r="216" spans="27:27">
      <c r="AA216" s="20"/>
    </row>
    <row r="217" spans="27:27">
      <c r="AA217" s="20"/>
    </row>
    <row r="218" spans="27:27">
      <c r="AA218" s="20"/>
    </row>
    <row r="219" spans="27:27">
      <c r="AA219" s="20"/>
    </row>
    <row r="220" spans="27:27">
      <c r="AA220" s="20"/>
    </row>
    <row r="221" spans="27:27">
      <c r="AA221" s="20"/>
    </row>
    <row r="222" spans="27:27">
      <c r="AA222" s="20"/>
    </row>
    <row r="223" spans="27:27">
      <c r="AA223" s="20"/>
    </row>
    <row r="224" spans="27:27">
      <c r="AA224" s="20"/>
    </row>
    <row r="225" spans="27:27">
      <c r="AA225" s="20"/>
    </row>
    <row r="226" spans="27:27">
      <c r="AA226" s="20"/>
    </row>
    <row r="227" spans="27:27">
      <c r="AA227" s="20"/>
    </row>
    <row r="228" spans="27:27">
      <c r="AA228" s="20"/>
    </row>
    <row r="229" spans="27:27">
      <c r="AA229" s="20"/>
    </row>
    <row r="230" spans="27:27">
      <c r="AA230" s="20"/>
    </row>
    <row r="231" spans="27:27">
      <c r="AA231" s="20"/>
    </row>
    <row r="232" spans="27:27">
      <c r="AA232" s="20"/>
    </row>
    <row r="233" spans="27:27">
      <c r="AA233" s="20"/>
    </row>
    <row r="234" spans="27:27">
      <c r="AA234" s="20"/>
    </row>
    <row r="235" spans="27:27">
      <c r="AA235" s="20"/>
    </row>
    <row r="236" spans="27:27">
      <c r="AA236" s="20"/>
    </row>
    <row r="237" spans="27:27">
      <c r="AA237" s="20"/>
    </row>
    <row r="238" spans="27:27">
      <c r="AA238" s="20"/>
    </row>
    <row r="239" spans="27:27">
      <c r="AA239" s="20"/>
    </row>
    <row r="240" spans="27:27">
      <c r="AA240" s="20"/>
    </row>
    <row r="241" spans="27:27">
      <c r="AA241" s="20"/>
    </row>
    <row r="242" spans="27:27">
      <c r="AA242" s="20"/>
    </row>
    <row r="243" spans="27:27">
      <c r="AA243" s="20"/>
    </row>
    <row r="244" spans="27:27">
      <c r="AA244" s="20"/>
    </row>
    <row r="245" spans="27:27">
      <c r="AA245" s="20"/>
    </row>
    <row r="246" spans="27:27">
      <c r="AA246" s="20"/>
    </row>
    <row r="247" spans="27:27">
      <c r="AA247" s="20"/>
    </row>
    <row r="248" spans="27:27">
      <c r="AA248" s="20"/>
    </row>
    <row r="249" spans="27:27">
      <c r="AA249" s="20"/>
    </row>
    <row r="250" spans="27:27">
      <c r="AA250" s="20"/>
    </row>
    <row r="251" spans="27:27">
      <c r="AA251" s="20"/>
    </row>
    <row r="252" spans="27:27">
      <c r="AA252" s="20"/>
    </row>
    <row r="253" spans="27:27">
      <c r="AA253" s="20"/>
    </row>
    <row r="254" spans="27:27">
      <c r="AA254" s="20"/>
    </row>
    <row r="255" spans="27:27">
      <c r="AA255" s="20"/>
    </row>
    <row r="256" spans="27:27">
      <c r="AA256" s="20"/>
    </row>
    <row r="257" spans="27:27">
      <c r="AA257" s="20"/>
    </row>
    <row r="258" spans="27:27">
      <c r="AA258" s="20"/>
    </row>
    <row r="259" spans="27:27">
      <c r="AA259" s="20"/>
    </row>
    <row r="260" spans="27:27">
      <c r="AA260" s="20"/>
    </row>
    <row r="261" spans="27:27">
      <c r="AA261" s="20"/>
    </row>
    <row r="262" spans="27:27">
      <c r="AA262" s="20"/>
    </row>
    <row r="263" spans="27:27">
      <c r="AA263" s="20"/>
    </row>
    <row r="264" spans="27:27">
      <c r="AA264" s="20"/>
    </row>
    <row r="265" spans="27:27">
      <c r="AA265" s="20"/>
    </row>
    <row r="266" spans="27:27">
      <c r="AA266" s="20"/>
    </row>
    <row r="267" spans="27:27">
      <c r="AA267" s="20"/>
    </row>
    <row r="268" spans="27:27">
      <c r="AA268" s="20"/>
    </row>
    <row r="269" spans="27:27">
      <c r="AA269" s="20"/>
    </row>
    <row r="270" spans="27:27">
      <c r="AA270" s="20"/>
    </row>
    <row r="271" spans="27:27">
      <c r="AA271" s="20"/>
    </row>
    <row r="272" spans="27:27">
      <c r="AA272" s="20"/>
    </row>
    <row r="273" spans="27:27">
      <c r="AA273" s="20"/>
    </row>
    <row r="274" spans="27:27">
      <c r="AA274" s="20"/>
    </row>
    <row r="275" spans="27:27">
      <c r="AA275" s="20"/>
    </row>
    <row r="276" spans="27:27">
      <c r="AA276" s="20"/>
    </row>
    <row r="277" spans="27:27">
      <c r="AA277" s="20"/>
    </row>
    <row r="278" spans="27:27">
      <c r="AA278" s="20"/>
    </row>
    <row r="279" spans="27:27">
      <c r="AA279" s="20"/>
    </row>
    <row r="280" spans="27:27">
      <c r="AA280" s="20"/>
    </row>
    <row r="281" spans="27:27">
      <c r="AA281" s="20"/>
    </row>
    <row r="282" spans="27:27">
      <c r="AA282" s="20"/>
    </row>
    <row r="283" spans="27:27">
      <c r="AA283" s="20"/>
    </row>
    <row r="284" spans="27:27">
      <c r="AA284" s="20"/>
    </row>
    <row r="285" spans="27:27">
      <c r="AA285" s="20"/>
    </row>
    <row r="286" spans="27:27">
      <c r="AA286" s="20"/>
    </row>
    <row r="287" spans="27:27">
      <c r="AA287" s="20"/>
    </row>
    <row r="288" spans="27:27">
      <c r="AA288" s="20"/>
    </row>
    <row r="289" spans="27:27">
      <c r="AA289" s="20"/>
    </row>
    <row r="290" spans="27:27">
      <c r="AA290" s="20"/>
    </row>
    <row r="291" spans="27:27">
      <c r="AA291" s="20"/>
    </row>
    <row r="292" spans="27:27">
      <c r="AA292" s="20"/>
    </row>
    <row r="293" spans="27:27">
      <c r="AA293" s="20"/>
    </row>
    <row r="294" spans="27:27">
      <c r="AA294" s="20"/>
    </row>
    <row r="295" spans="27:27">
      <c r="AA295" s="20"/>
    </row>
    <row r="296" spans="27:27">
      <c r="AA296" s="20"/>
    </row>
    <row r="297" spans="27:27">
      <c r="AA297" s="20"/>
    </row>
    <row r="298" spans="27:27">
      <c r="AA298" s="20"/>
    </row>
    <row r="299" spans="27:27">
      <c r="AA299" s="20"/>
    </row>
    <row r="300" spans="27:27">
      <c r="AA300" s="20"/>
    </row>
    <row r="301" spans="27:27">
      <c r="AA301" s="20"/>
    </row>
    <row r="302" spans="27:27">
      <c r="AA302" s="20"/>
    </row>
    <row r="303" spans="27:27">
      <c r="AA303" s="20"/>
    </row>
    <row r="304" spans="27:27">
      <c r="AA304" s="20"/>
    </row>
    <row r="305" spans="27:27">
      <c r="AA305" s="20"/>
    </row>
    <row r="306" spans="27:27">
      <c r="AA306" s="20"/>
    </row>
    <row r="307" spans="27:27">
      <c r="AA307" s="20"/>
    </row>
    <row r="308" spans="27:27">
      <c r="AA308" s="20"/>
    </row>
    <row r="309" spans="27:27">
      <c r="AA309" s="20"/>
    </row>
    <row r="310" spans="27:27">
      <c r="AA310" s="20"/>
    </row>
    <row r="311" spans="27:27">
      <c r="AA311" s="20"/>
    </row>
    <row r="312" spans="27:27">
      <c r="AA312" s="20"/>
    </row>
    <row r="313" spans="27:27">
      <c r="AA313" s="20"/>
    </row>
    <row r="314" spans="27:27">
      <c r="AA314" s="20"/>
    </row>
    <row r="315" spans="27:27">
      <c r="AA315" s="20"/>
    </row>
    <row r="316" spans="27:27">
      <c r="AA316" s="20"/>
    </row>
    <row r="317" spans="27:27">
      <c r="AA317" s="20"/>
    </row>
    <row r="318" spans="27:27">
      <c r="AA318" s="20"/>
    </row>
    <row r="319" spans="27:27">
      <c r="AA319" s="20"/>
    </row>
    <row r="320" spans="27:27">
      <c r="AA320" s="20"/>
    </row>
    <row r="321" spans="27:27">
      <c r="AA321" s="20"/>
    </row>
    <row r="322" spans="27:27">
      <c r="AA322" s="20"/>
    </row>
    <row r="323" spans="27:27">
      <c r="AA323" s="20"/>
    </row>
    <row r="324" spans="27:27">
      <c r="AA324" s="20"/>
    </row>
    <row r="325" spans="27:27">
      <c r="AA325" s="20"/>
    </row>
    <row r="326" spans="27:27">
      <c r="AA326" s="20"/>
    </row>
    <row r="327" spans="27:27">
      <c r="AA327" s="20"/>
    </row>
    <row r="328" spans="27:27">
      <c r="AA328" s="20"/>
    </row>
    <row r="329" spans="27:27">
      <c r="AA329" s="20"/>
    </row>
    <row r="330" spans="27:27">
      <c r="AA330" s="20"/>
    </row>
    <row r="331" spans="27:27">
      <c r="AA331" s="20"/>
    </row>
    <row r="332" spans="27:27">
      <c r="AA332" s="20"/>
    </row>
    <row r="333" spans="27:27">
      <c r="AA333" s="20"/>
    </row>
    <row r="334" spans="27:27">
      <c r="AA334" s="20"/>
    </row>
    <row r="335" spans="27:27">
      <c r="AA335" s="20"/>
    </row>
    <row r="336" spans="27:27">
      <c r="AA336" s="20"/>
    </row>
    <row r="337" spans="27:27">
      <c r="AA337" s="20"/>
    </row>
    <row r="338" spans="27:27">
      <c r="AA338" s="20"/>
    </row>
    <row r="339" spans="27:27">
      <c r="AA339" s="20"/>
    </row>
    <row r="340" spans="27:27">
      <c r="AA340" s="20"/>
    </row>
    <row r="341" spans="27:27">
      <c r="AA341" s="20"/>
    </row>
    <row r="342" spans="27:27">
      <c r="AA342" s="20"/>
    </row>
    <row r="343" spans="27:27">
      <c r="AA343" s="20"/>
    </row>
    <row r="344" spans="27:27">
      <c r="AA344" s="20"/>
    </row>
    <row r="345" spans="27:27">
      <c r="AA345" s="20"/>
    </row>
    <row r="346" spans="27:27">
      <c r="AA346" s="20"/>
    </row>
    <row r="347" spans="27:27">
      <c r="AA347" s="20"/>
    </row>
    <row r="348" spans="27:27">
      <c r="AA348" s="20"/>
    </row>
    <row r="349" spans="27:27">
      <c r="AA349" s="20"/>
    </row>
    <row r="350" spans="27:27">
      <c r="AA350" s="20"/>
    </row>
    <row r="351" spans="27:27">
      <c r="AA351" s="20"/>
    </row>
    <row r="352" spans="27:27">
      <c r="AA352" s="20"/>
    </row>
    <row r="353" spans="27:27">
      <c r="AA353" s="20"/>
    </row>
    <row r="354" spans="27:27">
      <c r="AA354" s="20"/>
    </row>
    <row r="355" spans="27:27">
      <c r="AA355" s="20"/>
    </row>
    <row r="356" spans="27:27">
      <c r="AA356" s="20"/>
    </row>
    <row r="357" spans="27:27">
      <c r="AA357" s="20"/>
    </row>
    <row r="358" spans="27:27">
      <c r="AA358" s="20"/>
    </row>
    <row r="359" spans="27:27">
      <c r="AA359" s="20"/>
    </row>
    <row r="360" spans="27:27">
      <c r="AA360" s="20"/>
    </row>
    <row r="361" spans="27:27">
      <c r="AA361" s="20"/>
    </row>
    <row r="362" spans="27:27">
      <c r="AA362" s="20"/>
    </row>
    <row r="363" spans="27:27">
      <c r="AA363" s="20"/>
    </row>
    <row r="364" spans="27:27">
      <c r="AA364" s="20"/>
    </row>
    <row r="365" spans="27:27">
      <c r="AA365" s="20"/>
    </row>
    <row r="366" spans="27:27">
      <c r="AA366" s="20"/>
    </row>
    <row r="367" spans="27:27">
      <c r="AA367" s="20"/>
    </row>
    <row r="368" spans="27:27">
      <c r="AA368" s="20"/>
    </row>
    <row r="369" spans="27:27">
      <c r="AA369" s="20"/>
    </row>
    <row r="370" spans="27:27">
      <c r="AA370" s="20"/>
    </row>
    <row r="371" spans="27:27">
      <c r="AA371" s="20"/>
    </row>
    <row r="372" spans="27:27">
      <c r="AA372" s="20"/>
    </row>
    <row r="373" spans="27:27">
      <c r="AA373" s="20"/>
    </row>
    <row r="374" spans="27:27">
      <c r="AA374" s="20"/>
    </row>
    <row r="375" spans="27:27">
      <c r="AA375" s="20"/>
    </row>
    <row r="376" spans="27:27">
      <c r="AA376" s="20"/>
    </row>
    <row r="377" spans="27:27">
      <c r="AA377" s="20"/>
    </row>
    <row r="378" spans="27:27">
      <c r="AA378" s="20"/>
    </row>
    <row r="379" spans="27:27">
      <c r="AA379" s="20"/>
    </row>
    <row r="380" spans="27:27">
      <c r="AA380" s="20"/>
    </row>
    <row r="381" spans="27:27">
      <c r="AA381" s="20"/>
    </row>
    <row r="382" spans="27:27">
      <c r="AA382" s="20"/>
    </row>
    <row r="383" spans="27:27">
      <c r="AA383" s="20"/>
    </row>
    <row r="384" spans="27:27">
      <c r="AA384" s="20"/>
    </row>
    <row r="385" spans="27:27">
      <c r="AA385" s="20"/>
    </row>
    <row r="386" spans="27:27">
      <c r="AA386" s="20"/>
    </row>
    <row r="387" spans="27:27">
      <c r="AA387" s="20"/>
    </row>
    <row r="388" spans="27:27">
      <c r="AA388" s="20"/>
    </row>
    <row r="389" spans="27:27">
      <c r="AA389" s="20"/>
    </row>
    <row r="390" spans="27:27">
      <c r="AA390" s="20"/>
    </row>
    <row r="391" spans="27:27">
      <c r="AA391" s="20"/>
    </row>
    <row r="392" spans="27:27">
      <c r="AA392" s="20"/>
    </row>
    <row r="393" spans="27:27">
      <c r="AA393" s="20"/>
    </row>
    <row r="394" spans="27:27">
      <c r="AA394" s="20"/>
    </row>
    <row r="395" spans="27:27">
      <c r="AA395" s="20"/>
    </row>
    <row r="396" spans="27:27">
      <c r="AA396" s="20"/>
    </row>
    <row r="397" spans="27:27">
      <c r="AA397" s="20"/>
    </row>
    <row r="398" spans="27:27">
      <c r="AA398" s="20"/>
    </row>
    <row r="399" spans="27:27">
      <c r="AA399" s="20"/>
    </row>
    <row r="400" spans="27:27">
      <c r="AA400" s="20"/>
    </row>
    <row r="401" spans="27:27">
      <c r="AA401" s="20"/>
    </row>
    <row r="402" spans="27:27">
      <c r="AA402" s="20"/>
    </row>
    <row r="403" spans="27:27">
      <c r="AA403" s="20"/>
    </row>
    <row r="404" spans="27:27">
      <c r="AA404" s="20"/>
    </row>
    <row r="405" spans="27:27">
      <c r="AA405" s="20"/>
    </row>
    <row r="406" spans="27:27">
      <c r="AA406" s="20"/>
    </row>
    <row r="407" spans="27:27">
      <c r="AA407" s="20"/>
    </row>
    <row r="408" spans="27:27">
      <c r="AA408" s="20"/>
    </row>
    <row r="409" spans="27:27">
      <c r="AA409" s="20"/>
    </row>
    <row r="410" spans="27:27">
      <c r="AA410" s="20"/>
    </row>
  </sheetData>
  <phoneticPr fontId="0" type="noConversion"/>
  <pageMargins left="0.86" right="0.25" top="0.52" bottom="0.2" header="0.5" footer="0.22"/>
  <pageSetup scale="89" orientation="portrait" r:id="rId1"/>
  <headerFooter alignWithMargins="0"/>
  <rowBreaks count="1" manualBreakCount="1">
    <brk id="5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79 - Trend in Out of Stat</vt:lpstr>
      <vt:lpstr>'Table 79 - Trend in Out of Stat'!Print_Area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Jeffrey Smith</cp:lastModifiedBy>
  <cp:lastPrinted>2010-03-10T22:12:52Z</cp:lastPrinted>
  <dcterms:created xsi:type="dcterms:W3CDTF">2003-06-19T21:34:23Z</dcterms:created>
  <dcterms:modified xsi:type="dcterms:W3CDTF">2010-03-10T22:13:27Z</dcterms:modified>
</cp:coreProperties>
</file>