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-15" windowWidth="19260" windowHeight="12195"/>
  </bookViews>
  <sheets>
    <sheet name="Table 63 - Trend in HCT of Afri" sheetId="1" r:id="rId1"/>
    <sheet name="pivot" sheetId="3" r:id="rId2"/>
    <sheet name="data_2010" sheetId="2" r:id="rId3"/>
  </sheets>
  <definedNames>
    <definedName name="_xlnm.Print_Area" localSheetId="0">'Table 63 - Trend in HCT of Afri'!$A$1:$BE$108</definedName>
  </definedNames>
  <calcPr calcId="125725"/>
  <pivotCaches>
    <pivotCache cacheId="8" r:id="rId4"/>
  </pivotCaches>
</workbook>
</file>

<file path=xl/calcChain.xml><?xml version="1.0" encoding="utf-8"?>
<calcChain xmlns="http://schemas.openxmlformats.org/spreadsheetml/2006/main">
  <c r="BD102" i="1"/>
  <c r="P104"/>
  <c r="G13" i="3"/>
  <c r="BE99" i="1"/>
  <c r="BE94"/>
  <c r="BE100" s="1"/>
  <c r="P102"/>
  <c r="P100"/>
  <c r="P99"/>
  <c r="P94"/>
  <c r="A99"/>
  <c r="A94"/>
  <c r="BE67"/>
  <c r="BE68"/>
  <c r="BE69"/>
  <c r="BE70"/>
  <c r="BE71"/>
  <c r="BE72"/>
  <c r="BE73"/>
  <c r="BE74"/>
  <c r="BE75"/>
  <c r="BE76"/>
  <c r="BE77"/>
  <c r="BE78"/>
  <c r="BE79"/>
  <c r="BE80"/>
  <c r="BE81"/>
  <c r="BE82"/>
  <c r="BE83"/>
  <c r="BE84"/>
  <c r="BE85"/>
  <c r="BE86"/>
  <c r="BE87"/>
  <c r="BE88"/>
  <c r="BE89"/>
  <c r="BE66"/>
  <c r="BE90" s="1"/>
  <c r="BE102" s="1"/>
  <c r="P90"/>
  <c r="P67"/>
  <c r="P68"/>
  <c r="P69"/>
  <c r="P70"/>
  <c r="P71"/>
  <c r="P72"/>
  <c r="P73"/>
  <c r="P74"/>
  <c r="P75"/>
  <c r="P76"/>
  <c r="P77"/>
  <c r="P78"/>
  <c r="P79"/>
  <c r="P80"/>
  <c r="P81"/>
  <c r="P82"/>
  <c r="P83"/>
  <c r="P84"/>
  <c r="P85"/>
  <c r="P86"/>
  <c r="P87"/>
  <c r="P88"/>
  <c r="P89"/>
  <c r="P66"/>
  <c r="A89"/>
  <c r="A88"/>
  <c r="A87"/>
  <c r="A86"/>
  <c r="A85"/>
  <c r="A84"/>
  <c r="A83"/>
  <c r="A82"/>
  <c r="A81"/>
  <c r="A80"/>
  <c r="A79"/>
  <c r="A78"/>
  <c r="A77"/>
  <c r="A74"/>
  <c r="A75"/>
  <c r="A76"/>
  <c r="A71"/>
  <c r="A72"/>
  <c r="A73"/>
  <c r="A69"/>
  <c r="A70"/>
  <c r="A67"/>
  <c r="A68"/>
  <c r="A66"/>
  <c r="BE29"/>
  <c r="BE30"/>
  <c r="BE31"/>
  <c r="BE32"/>
  <c r="BE33"/>
  <c r="BE34"/>
  <c r="BE35"/>
  <c r="BE36"/>
  <c r="BE37"/>
  <c r="BE38"/>
  <c r="BE39"/>
  <c r="BE40"/>
  <c r="BE41"/>
  <c r="BE42"/>
  <c r="BE43"/>
  <c r="BE44"/>
  <c r="BE45"/>
  <c r="BE46"/>
  <c r="BE47"/>
  <c r="BE48"/>
  <c r="BE28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47"/>
  <c r="P48"/>
  <c r="P28"/>
  <c r="A43"/>
  <c r="A44"/>
  <c r="A45"/>
  <c r="A46"/>
  <c r="A47"/>
  <c r="A48"/>
  <c r="A42"/>
  <c r="A40"/>
  <c r="A41"/>
  <c r="A38"/>
  <c r="A39"/>
  <c r="A36"/>
  <c r="A37"/>
  <c r="A34"/>
  <c r="A35"/>
  <c r="A32"/>
  <c r="A33"/>
  <c r="A29"/>
  <c r="A30"/>
  <c r="A31"/>
  <c r="R48"/>
  <c r="S48"/>
  <c r="V48"/>
  <c r="W48"/>
  <c r="H48" s="1"/>
  <c r="X48"/>
  <c r="Y48"/>
  <c r="J48" s="1"/>
  <c r="Z48"/>
  <c r="K48" s="1"/>
  <c r="AJ48"/>
  <c r="AK48"/>
  <c r="AL48"/>
  <c r="AM48"/>
  <c r="AN48"/>
  <c r="AO48"/>
  <c r="AP48"/>
  <c r="AQ48"/>
  <c r="AR48"/>
  <c r="AS48"/>
  <c r="AU48"/>
  <c r="AW48"/>
  <c r="A28"/>
  <c r="BE12"/>
  <c r="BE13"/>
  <c r="BE14"/>
  <c r="BE15"/>
  <c r="BE16"/>
  <c r="BE17"/>
  <c r="BE18"/>
  <c r="BE19"/>
  <c r="BE20"/>
  <c r="BE21"/>
  <c r="BE22"/>
  <c r="BE23"/>
  <c r="BE11"/>
  <c r="P12"/>
  <c r="P13"/>
  <c r="P14"/>
  <c r="P15"/>
  <c r="P16"/>
  <c r="P17"/>
  <c r="P18"/>
  <c r="P19"/>
  <c r="P20"/>
  <c r="P21"/>
  <c r="P22"/>
  <c r="P23"/>
  <c r="P11"/>
  <c r="A12"/>
  <c r="A13"/>
  <c r="A14"/>
  <c r="A15"/>
  <c r="A16"/>
  <c r="A17"/>
  <c r="A18"/>
  <c r="A19"/>
  <c r="A20"/>
  <c r="A21"/>
  <c r="A22"/>
  <c r="A23"/>
  <c r="A11"/>
  <c r="G11" i="3"/>
  <c r="G10"/>
  <c r="G9"/>
  <c r="G7"/>
  <c r="P49" i="1" s="1"/>
  <c r="G6" i="3"/>
  <c r="P24" i="1" s="1"/>
  <c r="G5" i="3"/>
  <c r="P51" i="1" s="1"/>
  <c r="G61" i="2"/>
  <c r="F61"/>
  <c r="G60"/>
  <c r="F60"/>
  <c r="G59"/>
  <c r="F59"/>
  <c r="G58"/>
  <c r="F58"/>
  <c r="G57"/>
  <c r="F57"/>
  <c r="G56"/>
  <c r="F56"/>
  <c r="G55"/>
  <c r="F55"/>
  <c r="G54"/>
  <c r="F54"/>
  <c r="G53"/>
  <c r="F53"/>
  <c r="G52"/>
  <c r="F52"/>
  <c r="G51"/>
  <c r="F51"/>
  <c r="G50"/>
  <c r="F50"/>
  <c r="G49"/>
  <c r="F49"/>
  <c r="G48"/>
  <c r="F48"/>
  <c r="G47"/>
  <c r="F47"/>
  <c r="G46"/>
  <c r="F46"/>
  <c r="G45"/>
  <c r="F45"/>
  <c r="G44"/>
  <c r="F44"/>
  <c r="G43"/>
  <c r="F43"/>
  <c r="G42"/>
  <c r="F42"/>
  <c r="G41"/>
  <c r="F41"/>
  <c r="G40"/>
  <c r="F40"/>
  <c r="G39"/>
  <c r="F39"/>
  <c r="G38"/>
  <c r="F38"/>
  <c r="G37"/>
  <c r="F37"/>
  <c r="G36"/>
  <c r="F36"/>
  <c r="G35"/>
  <c r="F35"/>
  <c r="G34"/>
  <c r="F34"/>
  <c r="G33"/>
  <c r="F33"/>
  <c r="G32"/>
  <c r="F32"/>
  <c r="G31"/>
  <c r="F31"/>
  <c r="G30"/>
  <c r="F30"/>
  <c r="G29"/>
  <c r="F29"/>
  <c r="G28"/>
  <c r="F28"/>
  <c r="G27"/>
  <c r="F27"/>
  <c r="G26"/>
  <c r="F26"/>
  <c r="G25"/>
  <c r="F25"/>
  <c r="G24"/>
  <c r="F24"/>
  <c r="G23"/>
  <c r="F23"/>
  <c r="G22"/>
  <c r="F22"/>
  <c r="G21"/>
  <c r="F21"/>
  <c r="G20"/>
  <c r="F20"/>
  <c r="G19"/>
  <c r="F19"/>
  <c r="G18"/>
  <c r="F18"/>
  <c r="G17"/>
  <c r="F17"/>
  <c r="G16"/>
  <c r="F16"/>
  <c r="G15"/>
  <c r="F15"/>
  <c r="G14"/>
  <c r="F14"/>
  <c r="G13"/>
  <c r="F13"/>
  <c r="G12"/>
  <c r="F12"/>
  <c r="G11"/>
  <c r="F11"/>
  <c r="G10"/>
  <c r="F10"/>
  <c r="G9"/>
  <c r="F9"/>
  <c r="G8"/>
  <c r="F8"/>
  <c r="G7"/>
  <c r="F7"/>
  <c r="G6"/>
  <c r="F6"/>
  <c r="G5"/>
  <c r="F5"/>
  <c r="G4"/>
  <c r="F4"/>
  <c r="G3"/>
  <c r="F3"/>
  <c r="G2"/>
  <c r="F2"/>
  <c r="BD100" i="1"/>
  <c r="BD49"/>
  <c r="BD24"/>
  <c r="BC102"/>
  <c r="BB100"/>
  <c r="BB90"/>
  <c r="BB49"/>
  <c r="BB24"/>
  <c r="BA24"/>
  <c r="BA49"/>
  <c r="AW15"/>
  <c r="AU15"/>
  <c r="AS15"/>
  <c r="AR15"/>
  <c r="AQ15"/>
  <c r="AP15"/>
  <c r="AO15"/>
  <c r="AN15"/>
  <c r="AM15"/>
  <c r="AL15"/>
  <c r="AK15"/>
  <c r="AJ15"/>
  <c r="Z15"/>
  <c r="Y15"/>
  <c r="X15"/>
  <c r="W15"/>
  <c r="V15"/>
  <c r="T15"/>
  <c r="S15"/>
  <c r="R15"/>
  <c r="K15"/>
  <c r="J15"/>
  <c r="I15"/>
  <c r="H15"/>
  <c r="BA90"/>
  <c r="BA100"/>
  <c r="AA90"/>
  <c r="AA100"/>
  <c r="AA24"/>
  <c r="AA49"/>
  <c r="AB90"/>
  <c r="AB100"/>
  <c r="AB24"/>
  <c r="AB49"/>
  <c r="AC90"/>
  <c r="AC100"/>
  <c r="AC24"/>
  <c r="AC49"/>
  <c r="AD90"/>
  <c r="AD100"/>
  <c r="AD24"/>
  <c r="AD49"/>
  <c r="AE90"/>
  <c r="AE100"/>
  <c r="AE24"/>
  <c r="AE49"/>
  <c r="AF90"/>
  <c r="AF100"/>
  <c r="AF24"/>
  <c r="AF49"/>
  <c r="AG90"/>
  <c r="AG100"/>
  <c r="AG24"/>
  <c r="AG49"/>
  <c r="AH90"/>
  <c r="AH100"/>
  <c r="AH12"/>
  <c r="AH24" s="1"/>
  <c r="AH49"/>
  <c r="AI80"/>
  <c r="AI83"/>
  <c r="AI100"/>
  <c r="AI12"/>
  <c r="AI24" s="1"/>
  <c r="AI34"/>
  <c r="AI35"/>
  <c r="AI36"/>
  <c r="AI49" s="1"/>
  <c r="AI51" s="1"/>
  <c r="AJ66"/>
  <c r="AJ67"/>
  <c r="AJ69"/>
  <c r="AJ70"/>
  <c r="AJ71"/>
  <c r="AJ72"/>
  <c r="AJ73"/>
  <c r="AJ74"/>
  <c r="AJ75"/>
  <c r="AJ76"/>
  <c r="AJ77"/>
  <c r="AJ79"/>
  <c r="AJ81"/>
  <c r="AJ82"/>
  <c r="AJ83"/>
  <c r="AJ84"/>
  <c r="AJ85"/>
  <c r="AJ86"/>
  <c r="AJ87"/>
  <c r="AJ88"/>
  <c r="AJ100"/>
  <c r="AJ11"/>
  <c r="AJ13"/>
  <c r="AJ14"/>
  <c r="AJ16"/>
  <c r="AJ17"/>
  <c r="AJ18"/>
  <c r="AJ19"/>
  <c r="AJ20"/>
  <c r="AJ21"/>
  <c r="AJ22"/>
  <c r="AJ23"/>
  <c r="AJ28"/>
  <c r="AJ29"/>
  <c r="AJ30"/>
  <c r="AJ34"/>
  <c r="AJ35"/>
  <c r="AJ36"/>
  <c r="AJ37"/>
  <c r="AJ38"/>
  <c r="AJ39"/>
  <c r="AJ40"/>
  <c r="AJ47"/>
  <c r="AJ42"/>
  <c r="AJ43"/>
  <c r="AJ44"/>
  <c r="AJ49" s="1"/>
  <c r="AJ45"/>
  <c r="AK66"/>
  <c r="AK67"/>
  <c r="AK70"/>
  <c r="AK71"/>
  <c r="AK72"/>
  <c r="AK74"/>
  <c r="AK75"/>
  <c r="AK76"/>
  <c r="AK77"/>
  <c r="AK79"/>
  <c r="AK80"/>
  <c r="AK81"/>
  <c r="AK82"/>
  <c r="AK83"/>
  <c r="AK84"/>
  <c r="AK85"/>
  <c r="AK86"/>
  <c r="AK87"/>
  <c r="AK88"/>
  <c r="AK100"/>
  <c r="AK11"/>
  <c r="AK12"/>
  <c r="AK13"/>
  <c r="AK14"/>
  <c r="AK16"/>
  <c r="AK17"/>
  <c r="AK18"/>
  <c r="AK19"/>
  <c r="AK20"/>
  <c r="AK21"/>
  <c r="AK22"/>
  <c r="AK23"/>
  <c r="AK28"/>
  <c r="AK29"/>
  <c r="AK30"/>
  <c r="AK34"/>
  <c r="AK35"/>
  <c r="AK36"/>
  <c r="AK37"/>
  <c r="AK38"/>
  <c r="AK39"/>
  <c r="AK40"/>
  <c r="AK41"/>
  <c r="AK47"/>
  <c r="AK42"/>
  <c r="AK43"/>
  <c r="AK44"/>
  <c r="AK45"/>
  <c r="AK49"/>
  <c r="AL66"/>
  <c r="AL67"/>
  <c r="AL69"/>
  <c r="AL70"/>
  <c r="AL71"/>
  <c r="AL72"/>
  <c r="AL74"/>
  <c r="AL76"/>
  <c r="AL77"/>
  <c r="AL78"/>
  <c r="AL79"/>
  <c r="AL80"/>
  <c r="AL81"/>
  <c r="AL82"/>
  <c r="AL83"/>
  <c r="AL84"/>
  <c r="AL85"/>
  <c r="AL86"/>
  <c r="AL87"/>
  <c r="AL88"/>
  <c r="AL100"/>
  <c r="AL11"/>
  <c r="AL12"/>
  <c r="AL13"/>
  <c r="AL14"/>
  <c r="AL16"/>
  <c r="AL17"/>
  <c r="AL18"/>
  <c r="AL19"/>
  <c r="AL20"/>
  <c r="AL21"/>
  <c r="AL22"/>
  <c r="AL23"/>
  <c r="AL28"/>
  <c r="AL29"/>
  <c r="AL30"/>
  <c r="AL34"/>
  <c r="AL35"/>
  <c r="AL36"/>
  <c r="AL37"/>
  <c r="AL38"/>
  <c r="AL39"/>
  <c r="AL40"/>
  <c r="AL47"/>
  <c r="AL42"/>
  <c r="AL43"/>
  <c r="AL44"/>
  <c r="AL45"/>
  <c r="AM66"/>
  <c r="AM67"/>
  <c r="AM69"/>
  <c r="AM70"/>
  <c r="AM71"/>
  <c r="AM72"/>
  <c r="AM74"/>
  <c r="AM75"/>
  <c r="AM76"/>
  <c r="AM77"/>
  <c r="AM78"/>
  <c r="AM79"/>
  <c r="AM80"/>
  <c r="AM81"/>
  <c r="AM82"/>
  <c r="AM83"/>
  <c r="AM84"/>
  <c r="AM85"/>
  <c r="AM86"/>
  <c r="AM87"/>
  <c r="AM88"/>
  <c r="AM100"/>
  <c r="AM11"/>
  <c r="AM12"/>
  <c r="AM13"/>
  <c r="AM14"/>
  <c r="AM16"/>
  <c r="AM18"/>
  <c r="AM19"/>
  <c r="AM20"/>
  <c r="AM21"/>
  <c r="AM22"/>
  <c r="AM23"/>
  <c r="AM28"/>
  <c r="AM29"/>
  <c r="AM30"/>
  <c r="AM34"/>
  <c r="AM35"/>
  <c r="AM36"/>
  <c r="AM37"/>
  <c r="AM38"/>
  <c r="AM39"/>
  <c r="AM40"/>
  <c r="AM41"/>
  <c r="AM47"/>
  <c r="AM42"/>
  <c r="AM43"/>
  <c r="AM44"/>
  <c r="AM45"/>
  <c r="AM49"/>
  <c r="AN66"/>
  <c r="AN67"/>
  <c r="AN69"/>
  <c r="AN70"/>
  <c r="AN71"/>
  <c r="AN72"/>
  <c r="AN73"/>
  <c r="AN74"/>
  <c r="AN75"/>
  <c r="AN76"/>
  <c r="AN78"/>
  <c r="AN79"/>
  <c r="AN80"/>
  <c r="AN81"/>
  <c r="AN82"/>
  <c r="AN83"/>
  <c r="AN84"/>
  <c r="AN85"/>
  <c r="AN86"/>
  <c r="AN87"/>
  <c r="AN88"/>
  <c r="AN90"/>
  <c r="AN100"/>
  <c r="AN11"/>
  <c r="AN12"/>
  <c r="AN13"/>
  <c r="AN14"/>
  <c r="AN16"/>
  <c r="AN17"/>
  <c r="AN18"/>
  <c r="AN19"/>
  <c r="AN20"/>
  <c r="AN21"/>
  <c r="AN22"/>
  <c r="AN23"/>
  <c r="AN28"/>
  <c r="AN29"/>
  <c r="AN30"/>
  <c r="AN34"/>
  <c r="AN35"/>
  <c r="AN36"/>
  <c r="AN37"/>
  <c r="AN38"/>
  <c r="AN39"/>
  <c r="AN40"/>
  <c r="AN41"/>
  <c r="AN47"/>
  <c r="AN42"/>
  <c r="AN43"/>
  <c r="AN44"/>
  <c r="AN45"/>
  <c r="AO66"/>
  <c r="AO67"/>
  <c r="AO69"/>
  <c r="AO70"/>
  <c r="AO71"/>
  <c r="AO72"/>
  <c r="AO73"/>
  <c r="AO74"/>
  <c r="AO75"/>
  <c r="AO76"/>
  <c r="AO77"/>
  <c r="AO78"/>
  <c r="AO79"/>
  <c r="AO80"/>
  <c r="AO81"/>
  <c r="AO82"/>
  <c r="AO83"/>
  <c r="AO84"/>
  <c r="AO85"/>
  <c r="AO86"/>
  <c r="AO87"/>
  <c r="AO88"/>
  <c r="AO89"/>
  <c r="AO99"/>
  <c r="AO100"/>
  <c r="AO11"/>
  <c r="AO12"/>
  <c r="AO13"/>
  <c r="AO14"/>
  <c r="AO16"/>
  <c r="AO17"/>
  <c r="AO18"/>
  <c r="AO19"/>
  <c r="AO20"/>
  <c r="AO21"/>
  <c r="AO22"/>
  <c r="AO23"/>
  <c r="AO28"/>
  <c r="AO29"/>
  <c r="AO30"/>
  <c r="AO34"/>
  <c r="AO35"/>
  <c r="AO36"/>
  <c r="AO37"/>
  <c r="AO38"/>
  <c r="AO39"/>
  <c r="AO40"/>
  <c r="AO41"/>
  <c r="AO47"/>
  <c r="AO42"/>
  <c r="AO49"/>
  <c r="AP66"/>
  <c r="AP67"/>
  <c r="AP69"/>
  <c r="AP70"/>
  <c r="AP71"/>
  <c r="AP72"/>
  <c r="AP73"/>
  <c r="AP74"/>
  <c r="AP75"/>
  <c r="AP76"/>
  <c r="AP77"/>
  <c r="AP79"/>
  <c r="AP82"/>
  <c r="AP83"/>
  <c r="AP84"/>
  <c r="AP85"/>
  <c r="AP86"/>
  <c r="AP87"/>
  <c r="AP88"/>
  <c r="AP89"/>
  <c r="AP99"/>
  <c r="AP100" s="1"/>
  <c r="AP11"/>
  <c r="AP12"/>
  <c r="AP13"/>
  <c r="AP14"/>
  <c r="AP16"/>
  <c r="AP17"/>
  <c r="AP18"/>
  <c r="AP19"/>
  <c r="AP20"/>
  <c r="AP21"/>
  <c r="AP22"/>
  <c r="AP23"/>
  <c r="AP24"/>
  <c r="AP29"/>
  <c r="AP30"/>
  <c r="AP31"/>
  <c r="AP34"/>
  <c r="AP35"/>
  <c r="AP36"/>
  <c r="AP37"/>
  <c r="AP38"/>
  <c r="AP39"/>
  <c r="AP40"/>
  <c r="AP41"/>
  <c r="AP47"/>
  <c r="AP42"/>
  <c r="AP43"/>
  <c r="AP44"/>
  <c r="AP45"/>
  <c r="AQ66"/>
  <c r="AQ67"/>
  <c r="AQ69"/>
  <c r="AQ70"/>
  <c r="AQ71"/>
  <c r="AQ72"/>
  <c r="AQ73"/>
  <c r="AQ74"/>
  <c r="AQ75"/>
  <c r="AQ76"/>
  <c r="AQ77"/>
  <c r="AQ78"/>
  <c r="AQ79"/>
  <c r="AQ80"/>
  <c r="AQ81"/>
  <c r="AQ82"/>
  <c r="AQ83"/>
  <c r="AQ84"/>
  <c r="AQ85"/>
  <c r="AQ86"/>
  <c r="AQ87"/>
  <c r="AQ88"/>
  <c r="AQ89"/>
  <c r="AQ94"/>
  <c r="AQ99"/>
  <c r="AQ11"/>
  <c r="AQ12"/>
  <c r="AQ13"/>
  <c r="AQ14"/>
  <c r="AQ16"/>
  <c r="AQ17"/>
  <c r="AQ18"/>
  <c r="AQ19"/>
  <c r="AQ20"/>
  <c r="AQ21"/>
  <c r="AQ22"/>
  <c r="AQ23"/>
  <c r="AQ28"/>
  <c r="AQ29"/>
  <c r="AQ30"/>
  <c r="AQ31"/>
  <c r="AQ34"/>
  <c r="AQ35"/>
  <c r="AQ36"/>
  <c r="AQ37"/>
  <c r="AQ38"/>
  <c r="AQ39"/>
  <c r="AQ40"/>
  <c r="AQ41"/>
  <c r="AQ47"/>
  <c r="AQ42"/>
  <c r="AQ43"/>
  <c r="AQ44"/>
  <c r="AQ45"/>
  <c r="AR66"/>
  <c r="AR67"/>
  <c r="AR69"/>
  <c r="AR70"/>
  <c r="AR71"/>
  <c r="AR72"/>
  <c r="AR74"/>
  <c r="AR75"/>
  <c r="AR76"/>
  <c r="AR77"/>
  <c r="AR78"/>
  <c r="AR79"/>
  <c r="AR80"/>
  <c r="AR81"/>
  <c r="AR82"/>
  <c r="AR83"/>
  <c r="AR84"/>
  <c r="AR85"/>
  <c r="AR86"/>
  <c r="AR87"/>
  <c r="AR88"/>
  <c r="AR89"/>
  <c r="AR99"/>
  <c r="AR100" s="1"/>
  <c r="AR11"/>
  <c r="AR12"/>
  <c r="AR13"/>
  <c r="AR14"/>
  <c r="AR16"/>
  <c r="AR17"/>
  <c r="AR18"/>
  <c r="AR19"/>
  <c r="AR20"/>
  <c r="AR21"/>
  <c r="AR22"/>
  <c r="AR23"/>
  <c r="AR28"/>
  <c r="AR29"/>
  <c r="AR30"/>
  <c r="AR31"/>
  <c r="AR34"/>
  <c r="AR35"/>
  <c r="AR36"/>
  <c r="AR37"/>
  <c r="AR38"/>
  <c r="AR39"/>
  <c r="AR40"/>
  <c r="AR41"/>
  <c r="AR47"/>
  <c r="AR42"/>
  <c r="AR43"/>
  <c r="AR44"/>
  <c r="AR45"/>
  <c r="AS66"/>
  <c r="AS67"/>
  <c r="AS69"/>
  <c r="AS70"/>
  <c r="AS71"/>
  <c r="AS72"/>
  <c r="AS73"/>
  <c r="AS74"/>
  <c r="AS75"/>
  <c r="AS76"/>
  <c r="AS77"/>
  <c r="AS78"/>
  <c r="AS79"/>
  <c r="AS80"/>
  <c r="AS81"/>
  <c r="AS82"/>
  <c r="AS83"/>
  <c r="AS84"/>
  <c r="AS85"/>
  <c r="AS86"/>
  <c r="AS87"/>
  <c r="AS88"/>
  <c r="AS89"/>
  <c r="AS90"/>
  <c r="AS99"/>
  <c r="AS100"/>
  <c r="AS11"/>
  <c r="AS12"/>
  <c r="AS13"/>
  <c r="AS14"/>
  <c r="AS16"/>
  <c r="AS17"/>
  <c r="AS18"/>
  <c r="AS19"/>
  <c r="AS20"/>
  <c r="AS21"/>
  <c r="AS22"/>
  <c r="AS23"/>
  <c r="AS28"/>
  <c r="AS29"/>
  <c r="AS30"/>
  <c r="AS31"/>
  <c r="AS34"/>
  <c r="AS35"/>
  <c r="AS36"/>
  <c r="AS37"/>
  <c r="AS38"/>
  <c r="AS39"/>
  <c r="AS40"/>
  <c r="AS41"/>
  <c r="AS47"/>
  <c r="AS42"/>
  <c r="AS43"/>
  <c r="AS44"/>
  <c r="AS45"/>
  <c r="AT90"/>
  <c r="AT100"/>
  <c r="AT24"/>
  <c r="AT49"/>
  <c r="AU66"/>
  <c r="AU67"/>
  <c r="AU69"/>
  <c r="AU70"/>
  <c r="AU72"/>
  <c r="AU74"/>
  <c r="AU75"/>
  <c r="AU76"/>
  <c r="AU77"/>
  <c r="AU78"/>
  <c r="AU80"/>
  <c r="AU81"/>
  <c r="AU82"/>
  <c r="AU83"/>
  <c r="AU84"/>
  <c r="AU85"/>
  <c r="AU86"/>
  <c r="AU87"/>
  <c r="AU88"/>
  <c r="AU89"/>
  <c r="AU99"/>
  <c r="AU100" s="1"/>
  <c r="AU11"/>
  <c r="AU12"/>
  <c r="AU14"/>
  <c r="AU19"/>
  <c r="AU20"/>
  <c r="AU21"/>
  <c r="AU22"/>
  <c r="AU23"/>
  <c r="AU28"/>
  <c r="AU30"/>
  <c r="AU32"/>
  <c r="AU34"/>
  <c r="AU35"/>
  <c r="AU36"/>
  <c r="AU37"/>
  <c r="AU38"/>
  <c r="AU41"/>
  <c r="AU47"/>
  <c r="AU42"/>
  <c r="AU43"/>
  <c r="AU44"/>
  <c r="AU45"/>
  <c r="AV90"/>
  <c r="AV100"/>
  <c r="AV24"/>
  <c r="AV49"/>
  <c r="AW66"/>
  <c r="AW67"/>
  <c r="AW69"/>
  <c r="AW70"/>
  <c r="AW74"/>
  <c r="AW75"/>
  <c r="I75" s="1"/>
  <c r="AW76"/>
  <c r="AW77"/>
  <c r="AW78"/>
  <c r="AW81"/>
  <c r="AW82"/>
  <c r="AW83"/>
  <c r="AW84"/>
  <c r="AW85"/>
  <c r="AW86"/>
  <c r="AW87"/>
  <c r="AW88"/>
  <c r="AW89"/>
  <c r="AW100"/>
  <c r="AW11"/>
  <c r="AW12"/>
  <c r="AW14"/>
  <c r="AW19"/>
  <c r="AW20"/>
  <c r="AW21"/>
  <c r="AW22"/>
  <c r="AW23"/>
  <c r="AW28"/>
  <c r="AW29"/>
  <c r="AW30"/>
  <c r="I30" s="1"/>
  <c r="AW31"/>
  <c r="AW32"/>
  <c r="AW33"/>
  <c r="AW34"/>
  <c r="AW35"/>
  <c r="AW36"/>
  <c r="AW37"/>
  <c r="AW38"/>
  <c r="AW41"/>
  <c r="AW47"/>
  <c r="AW43"/>
  <c r="AW44"/>
  <c r="AW45"/>
  <c r="AX90"/>
  <c r="AX100"/>
  <c r="AX24"/>
  <c r="AX49"/>
  <c r="AY67"/>
  <c r="AY90" s="1"/>
  <c r="AY100"/>
  <c r="AY24"/>
  <c r="AY49"/>
  <c r="AZ90"/>
  <c r="AZ100"/>
  <c r="AZ24"/>
  <c r="AZ49"/>
  <c r="Z66"/>
  <c r="K66" s="1"/>
  <c r="Z67"/>
  <c r="Z70"/>
  <c r="K70" s="1"/>
  <c r="Z71"/>
  <c r="Z72"/>
  <c r="K72" s="1"/>
  <c r="Z73"/>
  <c r="Z74"/>
  <c r="K74" s="1"/>
  <c r="Z75"/>
  <c r="Z76"/>
  <c r="K76" s="1"/>
  <c r="Z77"/>
  <c r="Z78"/>
  <c r="K78" s="1"/>
  <c r="Z79"/>
  <c r="Z80"/>
  <c r="K80" s="1"/>
  <c r="Z81"/>
  <c r="Z82"/>
  <c r="K82" s="1"/>
  <c r="Z83"/>
  <c r="Z85"/>
  <c r="K85" s="1"/>
  <c r="Z86"/>
  <c r="Z87"/>
  <c r="K87" s="1"/>
  <c r="Z89"/>
  <c r="Z100"/>
  <c r="K11"/>
  <c r="Z20"/>
  <c r="K20" s="1"/>
  <c r="Z12"/>
  <c r="K12" s="1"/>
  <c r="Z13"/>
  <c r="K13" s="1"/>
  <c r="Z14"/>
  <c r="K14" s="1"/>
  <c r="Z16"/>
  <c r="K16" s="1"/>
  <c r="Z17"/>
  <c r="K17" s="1"/>
  <c r="Z18"/>
  <c r="K18" s="1"/>
  <c r="Z19"/>
  <c r="K19" s="1"/>
  <c r="Z21"/>
  <c r="K21" s="1"/>
  <c r="Z22"/>
  <c r="K22" s="1"/>
  <c r="Z23"/>
  <c r="Z29"/>
  <c r="Z30"/>
  <c r="K30" s="1"/>
  <c r="Z34"/>
  <c r="K34" s="1"/>
  <c r="Z35"/>
  <c r="K35" s="1"/>
  <c r="Z36"/>
  <c r="Z37"/>
  <c r="K37" s="1"/>
  <c r="Z38"/>
  <c r="K38" s="1"/>
  <c r="Z40"/>
  <c r="K40" s="1"/>
  <c r="Z41"/>
  <c r="Z47"/>
  <c r="K47" s="1"/>
  <c r="Z42"/>
  <c r="K42" s="1"/>
  <c r="Z43"/>
  <c r="K43" s="1"/>
  <c r="Z44"/>
  <c r="Z45"/>
  <c r="K45" s="1"/>
  <c r="K99"/>
  <c r="K94"/>
  <c r="K89"/>
  <c r="K88"/>
  <c r="K86"/>
  <c r="K84"/>
  <c r="K83"/>
  <c r="K81"/>
  <c r="K79"/>
  <c r="K77"/>
  <c r="K75"/>
  <c r="K73"/>
  <c r="K71"/>
  <c r="K69"/>
  <c r="K67"/>
  <c r="K39"/>
  <c r="K44"/>
  <c r="K41"/>
  <c r="K36"/>
  <c r="K33"/>
  <c r="K32"/>
  <c r="K31"/>
  <c r="K29"/>
  <c r="K28"/>
  <c r="Y70"/>
  <c r="J70" s="1"/>
  <c r="Y20"/>
  <c r="Y66"/>
  <c r="Y67"/>
  <c r="Y32"/>
  <c r="J32" s="1"/>
  <c r="Y74"/>
  <c r="Y73"/>
  <c r="J73" s="1"/>
  <c r="Y72"/>
  <c r="Y71"/>
  <c r="J71" s="1"/>
  <c r="Y28"/>
  <c r="Y35"/>
  <c r="J35" s="1"/>
  <c r="Y34"/>
  <c r="Y76"/>
  <c r="J76" s="1"/>
  <c r="Y12"/>
  <c r="Y30"/>
  <c r="Y11"/>
  <c r="Y23"/>
  <c r="Y40"/>
  <c r="Y38"/>
  <c r="J38" s="1"/>
  <c r="Y16"/>
  <c r="Y79"/>
  <c r="Y78"/>
  <c r="Y37"/>
  <c r="Y77"/>
  <c r="J77" s="1"/>
  <c r="Y43"/>
  <c r="J43" s="1"/>
  <c r="Y44"/>
  <c r="Y45"/>
  <c r="J45" s="1"/>
  <c r="Y81"/>
  <c r="J81" s="1"/>
  <c r="Y36"/>
  <c r="J36" s="1"/>
  <c r="Y89"/>
  <c r="J89" s="1"/>
  <c r="Y88"/>
  <c r="J88" s="1"/>
  <c r="Y87"/>
  <c r="Y86"/>
  <c r="J86" s="1"/>
  <c r="Y13"/>
  <c r="Y41"/>
  <c r="J41" s="1"/>
  <c r="Y80"/>
  <c r="Y85"/>
  <c r="Y22"/>
  <c r="Y21"/>
  <c r="Y19"/>
  <c r="Y84"/>
  <c r="J84" s="1"/>
  <c r="Y42"/>
  <c r="J42" s="1"/>
  <c r="Y47"/>
  <c r="Y39"/>
  <c r="J39" s="1"/>
  <c r="Y14"/>
  <c r="Y83"/>
  <c r="Y82"/>
  <c r="J82" s="1"/>
  <c r="Y100"/>
  <c r="J100" s="1"/>
  <c r="Y17"/>
  <c r="J17" s="1"/>
  <c r="Y18"/>
  <c r="J18" s="1"/>
  <c r="J99"/>
  <c r="J94"/>
  <c r="J87"/>
  <c r="J85"/>
  <c r="J83"/>
  <c r="J80"/>
  <c r="J79"/>
  <c r="J78"/>
  <c r="J75"/>
  <c r="J74"/>
  <c r="J72"/>
  <c r="J69"/>
  <c r="J67"/>
  <c r="J66"/>
  <c r="J44"/>
  <c r="J47"/>
  <c r="J40"/>
  <c r="J37"/>
  <c r="J34"/>
  <c r="J33"/>
  <c r="J31"/>
  <c r="J29"/>
  <c r="J28"/>
  <c r="J23"/>
  <c r="J22"/>
  <c r="J21"/>
  <c r="J19"/>
  <c r="J14"/>
  <c r="J16"/>
  <c r="J13"/>
  <c r="J12"/>
  <c r="J11"/>
  <c r="J20"/>
  <c r="X23"/>
  <c r="I23" s="1"/>
  <c r="X72"/>
  <c r="X77"/>
  <c r="I77" s="1"/>
  <c r="X86"/>
  <c r="X82"/>
  <c r="I82" s="1"/>
  <c r="X83"/>
  <c r="X45"/>
  <c r="I45" s="1"/>
  <c r="X44"/>
  <c r="X43"/>
  <c r="I43" s="1"/>
  <c r="X42"/>
  <c r="X19"/>
  <c r="I19" s="1"/>
  <c r="X85"/>
  <c r="X41"/>
  <c r="I41" s="1"/>
  <c r="X47"/>
  <c r="X79"/>
  <c r="X67"/>
  <c r="X22"/>
  <c r="I22" s="1"/>
  <c r="X21"/>
  <c r="X76"/>
  <c r="I76" s="1"/>
  <c r="X11"/>
  <c r="X88"/>
  <c r="I88" s="1"/>
  <c r="X14"/>
  <c r="X17"/>
  <c r="I17" s="1"/>
  <c r="X16"/>
  <c r="X13"/>
  <c r="I13" s="1"/>
  <c r="X78"/>
  <c r="I78" s="1"/>
  <c r="X12"/>
  <c r="I12" s="1"/>
  <c r="X74"/>
  <c r="I74" s="1"/>
  <c r="X66"/>
  <c r="X36"/>
  <c r="X35"/>
  <c r="I35" s="1"/>
  <c r="X34"/>
  <c r="X33"/>
  <c r="I33" s="1"/>
  <c r="X32"/>
  <c r="X20"/>
  <c r="I20" s="1"/>
  <c r="X70"/>
  <c r="X28"/>
  <c r="I28" s="1"/>
  <c r="X73"/>
  <c r="I73" s="1"/>
  <c r="X80"/>
  <c r="I80" s="1"/>
  <c r="X81"/>
  <c r="X18"/>
  <c r="I18" s="1"/>
  <c r="X89"/>
  <c r="X100"/>
  <c r="I100" s="1"/>
  <c r="I99"/>
  <c r="I94"/>
  <c r="I87"/>
  <c r="I86"/>
  <c r="I85"/>
  <c r="I84"/>
  <c r="I83"/>
  <c r="I79"/>
  <c r="I72"/>
  <c r="I71"/>
  <c r="I69"/>
  <c r="I66"/>
  <c r="I39"/>
  <c r="I44"/>
  <c r="I42"/>
  <c r="I47"/>
  <c r="I40"/>
  <c r="I38"/>
  <c r="I37"/>
  <c r="I36"/>
  <c r="I31"/>
  <c r="I29"/>
  <c r="I21"/>
  <c r="I14"/>
  <c r="I16"/>
  <c r="I11"/>
  <c r="W88"/>
  <c r="W86"/>
  <c r="H86" s="1"/>
  <c r="W82"/>
  <c r="H82" s="1"/>
  <c r="W80"/>
  <c r="H80" s="1"/>
  <c r="W77"/>
  <c r="W19"/>
  <c r="H19" s="1"/>
  <c r="W11"/>
  <c r="W100"/>
  <c r="H100" s="1"/>
  <c r="W66"/>
  <c r="W67"/>
  <c r="H67" s="1"/>
  <c r="W70"/>
  <c r="H70" s="1"/>
  <c r="W72"/>
  <c r="W73"/>
  <c r="W74"/>
  <c r="W76"/>
  <c r="H76" s="1"/>
  <c r="W78"/>
  <c r="H78" s="1"/>
  <c r="W79"/>
  <c r="H79" s="1"/>
  <c r="W81"/>
  <c r="H81" s="1"/>
  <c r="W85"/>
  <c r="H85" s="1"/>
  <c r="W30"/>
  <c r="H30" s="1"/>
  <c r="W34"/>
  <c r="W35"/>
  <c r="H35" s="1"/>
  <c r="W36"/>
  <c r="H36" s="1"/>
  <c r="W37"/>
  <c r="H37" s="1"/>
  <c r="W38"/>
  <c r="H38" s="1"/>
  <c r="W41"/>
  <c r="H41" s="1"/>
  <c r="W47"/>
  <c r="H47" s="1"/>
  <c r="W42"/>
  <c r="H42" s="1"/>
  <c r="W43"/>
  <c r="W44"/>
  <c r="H44" s="1"/>
  <c r="W45"/>
  <c r="H45" s="1"/>
  <c r="W20"/>
  <c r="H20" s="1"/>
  <c r="W12"/>
  <c r="W13"/>
  <c r="H13" s="1"/>
  <c r="W16"/>
  <c r="W17"/>
  <c r="H17" s="1"/>
  <c r="W18"/>
  <c r="W14"/>
  <c r="H14" s="1"/>
  <c r="W23"/>
  <c r="H99"/>
  <c r="H94"/>
  <c r="H89"/>
  <c r="H88"/>
  <c r="H87"/>
  <c r="H84"/>
  <c r="H83"/>
  <c r="H77"/>
  <c r="H75"/>
  <c r="H74"/>
  <c r="H73"/>
  <c r="H72"/>
  <c r="H71"/>
  <c r="H69"/>
  <c r="H66"/>
  <c r="H39"/>
  <c r="H43"/>
  <c r="H40"/>
  <c r="H32"/>
  <c r="H33"/>
  <c r="H31"/>
  <c r="H29"/>
  <c r="H28"/>
  <c r="H23"/>
  <c r="H22"/>
  <c r="H21"/>
  <c r="H18"/>
  <c r="H16"/>
  <c r="H12"/>
  <c r="R20"/>
  <c r="S20"/>
  <c r="T20"/>
  <c r="V20"/>
  <c r="R11"/>
  <c r="S11"/>
  <c r="T11"/>
  <c r="V11"/>
  <c r="R12"/>
  <c r="S12"/>
  <c r="T12"/>
  <c r="V12"/>
  <c r="R13"/>
  <c r="S13"/>
  <c r="T13"/>
  <c r="V13"/>
  <c r="R16"/>
  <c r="S16"/>
  <c r="T16"/>
  <c r="V16"/>
  <c r="R17"/>
  <c r="S17"/>
  <c r="T17"/>
  <c r="V17"/>
  <c r="R18"/>
  <c r="S18"/>
  <c r="T18"/>
  <c r="V18"/>
  <c r="R14"/>
  <c r="S14"/>
  <c r="T14"/>
  <c r="V14"/>
  <c r="R19"/>
  <c r="S19"/>
  <c r="T19"/>
  <c r="V19"/>
  <c r="R21"/>
  <c r="S21"/>
  <c r="T21"/>
  <c r="V21"/>
  <c r="R22"/>
  <c r="S22"/>
  <c r="T22"/>
  <c r="V22"/>
  <c r="R23"/>
  <c r="S23"/>
  <c r="T23"/>
  <c r="V23"/>
  <c r="Q24"/>
  <c r="U24"/>
  <c r="V28"/>
  <c r="T29"/>
  <c r="V29"/>
  <c r="R30"/>
  <c r="S30"/>
  <c r="V30"/>
  <c r="R34"/>
  <c r="S34"/>
  <c r="T34"/>
  <c r="V34"/>
  <c r="R35"/>
  <c r="S35"/>
  <c r="T35"/>
  <c r="V35"/>
  <c r="R36"/>
  <c r="S36"/>
  <c r="T36"/>
  <c r="V36"/>
  <c r="S37"/>
  <c r="T37"/>
  <c r="V37"/>
  <c r="R38"/>
  <c r="T38"/>
  <c r="V38"/>
  <c r="V40"/>
  <c r="R41"/>
  <c r="S41"/>
  <c r="T41"/>
  <c r="V41"/>
  <c r="R47"/>
  <c r="S47"/>
  <c r="T47"/>
  <c r="V47"/>
  <c r="R42"/>
  <c r="S42"/>
  <c r="T42"/>
  <c r="V42"/>
  <c r="R43"/>
  <c r="S43"/>
  <c r="T43"/>
  <c r="V43"/>
  <c r="R44"/>
  <c r="S44"/>
  <c r="T44"/>
  <c r="V44"/>
  <c r="R45"/>
  <c r="S45"/>
  <c r="T45"/>
  <c r="V45"/>
  <c r="V39"/>
  <c r="Q49"/>
  <c r="U49"/>
  <c r="R66"/>
  <c r="S66"/>
  <c r="T66"/>
  <c r="V66"/>
  <c r="R67"/>
  <c r="S67"/>
  <c r="T67"/>
  <c r="V67"/>
  <c r="V69"/>
  <c r="R70"/>
  <c r="S70"/>
  <c r="T70"/>
  <c r="V70"/>
  <c r="V71"/>
  <c r="R72"/>
  <c r="S72"/>
  <c r="T72"/>
  <c r="V72"/>
  <c r="R73"/>
  <c r="T73"/>
  <c r="V73"/>
  <c r="R74"/>
  <c r="S74"/>
  <c r="T74"/>
  <c r="V74"/>
  <c r="R76"/>
  <c r="S76"/>
  <c r="T76"/>
  <c r="V76"/>
  <c r="R77"/>
  <c r="S77"/>
  <c r="T77"/>
  <c r="V77"/>
  <c r="R78"/>
  <c r="S78"/>
  <c r="V78"/>
  <c r="R79"/>
  <c r="S79"/>
  <c r="T79"/>
  <c r="V79"/>
  <c r="R80"/>
  <c r="S80"/>
  <c r="T80"/>
  <c r="V80"/>
  <c r="R81"/>
  <c r="S81"/>
  <c r="T81"/>
  <c r="V81"/>
  <c r="R82"/>
  <c r="S82"/>
  <c r="T82"/>
  <c r="V82"/>
  <c r="R83"/>
  <c r="S83"/>
  <c r="V83"/>
  <c r="V84"/>
  <c r="R85"/>
  <c r="S85"/>
  <c r="T85"/>
  <c r="V85"/>
  <c r="R86"/>
  <c r="S86"/>
  <c r="T86"/>
  <c r="V86"/>
  <c r="V87"/>
  <c r="R88"/>
  <c r="S88"/>
  <c r="T88"/>
  <c r="V88"/>
  <c r="R89"/>
  <c r="S89"/>
  <c r="T89"/>
  <c r="V89"/>
  <c r="Q90"/>
  <c r="U90"/>
  <c r="V99"/>
  <c r="Q100"/>
  <c r="R100"/>
  <c r="S100"/>
  <c r="T100"/>
  <c r="U100"/>
  <c r="V100"/>
  <c r="I34" l="1"/>
  <c r="I89"/>
  <c r="I81"/>
  <c r="I67"/>
  <c r="BE49"/>
  <c r="V24"/>
  <c r="I32"/>
  <c r="BB51"/>
  <c r="S49"/>
  <c r="S90"/>
  <c r="U51"/>
  <c r="T24"/>
  <c r="Z49"/>
  <c r="K49" s="1"/>
  <c r="AU49"/>
  <c r="AJ24"/>
  <c r="AJ51" s="1"/>
  <c r="Z90"/>
  <c r="AY51"/>
  <c r="AY104" s="1"/>
  <c r="AW24"/>
  <c r="I48"/>
  <c r="BE24"/>
  <c r="BE51" s="1"/>
  <c r="BE104" s="1"/>
  <c r="X49"/>
  <c r="AW90"/>
  <c r="AW102" s="1"/>
  <c r="AV102"/>
  <c r="AS49"/>
  <c r="AQ90"/>
  <c r="AM24"/>
  <c r="AK24"/>
  <c r="AK51" s="1"/>
  <c r="AK104" s="1"/>
  <c r="AJ90"/>
  <c r="W90"/>
  <c r="W102" s="1"/>
  <c r="W24"/>
  <c r="H24" s="1"/>
  <c r="Y24"/>
  <c r="J24" s="1"/>
  <c r="Y90"/>
  <c r="J90" s="1"/>
  <c r="K100"/>
  <c r="AW49"/>
  <c r="AW51" s="1"/>
  <c r="AU24"/>
  <c r="AR49"/>
  <c r="AR90"/>
  <c r="AP49"/>
  <c r="AP51" s="1"/>
  <c r="AL49"/>
  <c r="AK90"/>
  <c r="AI90"/>
  <c r="R49"/>
  <c r="T90"/>
  <c r="R90"/>
  <c r="V90"/>
  <c r="R24"/>
  <c r="H11"/>
  <c r="W49"/>
  <c r="H49" s="1"/>
  <c r="X90"/>
  <c r="I90" s="1"/>
  <c r="X24"/>
  <c r="I24" s="1"/>
  <c r="Z24"/>
  <c r="K24" s="1"/>
  <c r="AZ102"/>
  <c r="AX51"/>
  <c r="AU90"/>
  <c r="AT51"/>
  <c r="AS24"/>
  <c r="AR24"/>
  <c r="AR51" s="1"/>
  <c r="AQ49"/>
  <c r="AQ24"/>
  <c r="AQ100"/>
  <c r="AQ102" s="1"/>
  <c r="AN24"/>
  <c r="AL24"/>
  <c r="AL51" s="1"/>
  <c r="AG51"/>
  <c r="AF51"/>
  <c r="AE51"/>
  <c r="AD51"/>
  <c r="AC51"/>
  <c r="AB51"/>
  <c r="AA51"/>
  <c r="BA51"/>
  <c r="V49"/>
  <c r="V51" s="1"/>
  <c r="T49"/>
  <c r="T51" s="1"/>
  <c r="S24"/>
  <c r="Y49"/>
  <c r="Y51" s="1"/>
  <c r="K90"/>
  <c r="AU51"/>
  <c r="AP90"/>
  <c r="AP102" s="1"/>
  <c r="AP104" s="1"/>
  <c r="AO24"/>
  <c r="AO90"/>
  <c r="AN49"/>
  <c r="AM90"/>
  <c r="AL90"/>
  <c r="AL102" s="1"/>
  <c r="AL104" s="1"/>
  <c r="BD51"/>
  <c r="AG102"/>
  <c r="AE102"/>
  <c r="AE104" s="1"/>
  <c r="AC102"/>
  <c r="AA102"/>
  <c r="BA102"/>
  <c r="BA104" s="1"/>
  <c r="AX102"/>
  <c r="AX104" s="1"/>
  <c r="AT102"/>
  <c r="T102"/>
  <c r="R102"/>
  <c r="V102"/>
  <c r="V104" s="1"/>
  <c r="AO102"/>
  <c r="AU102"/>
  <c r="AU104" s="1"/>
  <c r="Q51"/>
  <c r="H34"/>
  <c r="I70"/>
  <c r="J30"/>
  <c r="K23"/>
  <c r="AZ51"/>
  <c r="AV51"/>
  <c r="AN102"/>
  <c r="AK102"/>
  <c r="X51"/>
  <c r="X102"/>
  <c r="AM102"/>
  <c r="AS102"/>
  <c r="AR102"/>
  <c r="AI102"/>
  <c r="AI104" s="1"/>
  <c r="BB102"/>
  <c r="BB104" s="1"/>
  <c r="U102"/>
  <c r="U104" s="1"/>
  <c r="S102"/>
  <c r="Q102"/>
  <c r="AA104"/>
  <c r="AF102"/>
  <c r="AB102"/>
  <c r="AB104" s="1"/>
  <c r="Y102"/>
  <c r="J102" s="1"/>
  <c r="Z102"/>
  <c r="AY102"/>
  <c r="AJ102"/>
  <c r="AH102"/>
  <c r="AD102"/>
  <c r="AD104" s="1"/>
  <c r="AO51"/>
  <c r="AM51"/>
  <c r="AH51"/>
  <c r="BC104"/>
  <c r="H102"/>
  <c r="AJ104" l="1"/>
  <c r="J49"/>
  <c r="AM104"/>
  <c r="AH104"/>
  <c r="AF104"/>
  <c r="AV104"/>
  <c r="Z51"/>
  <c r="K51" s="1"/>
  <c r="W51"/>
  <c r="W104" s="1"/>
  <c r="H90"/>
  <c r="S51"/>
  <c r="I51"/>
  <c r="AW104"/>
  <c r="AO104"/>
  <c r="I49"/>
  <c r="AR104"/>
  <c r="X104"/>
  <c r="I104" s="1"/>
  <c r="AT104"/>
  <c r="AC104"/>
  <c r="AG104"/>
  <c r="AN51"/>
  <c r="AN104" s="1"/>
  <c r="T104"/>
  <c r="AQ51"/>
  <c r="AQ104" s="1"/>
  <c r="AS51"/>
  <c r="AS104" s="1"/>
  <c r="Y104"/>
  <c r="J104" s="1"/>
  <c r="J51"/>
  <c r="R51"/>
  <c r="R104" s="1"/>
  <c r="AZ104"/>
  <c r="K102"/>
  <c r="Q104"/>
  <c r="H104"/>
  <c r="Z104"/>
  <c r="K104" s="1"/>
  <c r="S104"/>
  <c r="I102"/>
  <c r="H51"/>
</calcChain>
</file>

<file path=xl/comments1.xml><?xml version="1.0" encoding="utf-8"?>
<comments xmlns="http://schemas.openxmlformats.org/spreadsheetml/2006/main">
  <authors>
    <author>jkintzel</author>
  </authors>
  <commentList>
    <comment ref="BB42" authorId="0">
      <text>
        <r>
          <rPr>
            <b/>
            <sz val="8"/>
            <color indexed="81"/>
            <rFont val="Tahoma"/>
            <family val="2"/>
          </rPr>
          <t>jkintzel:</t>
        </r>
        <r>
          <rPr>
            <sz val="8"/>
            <color indexed="81"/>
            <rFont val="Tahoma"/>
            <family val="2"/>
          </rPr>
          <t xml:space="preserve">
check 2006</t>
        </r>
      </text>
    </comment>
  </commentList>
</comments>
</file>

<file path=xl/sharedStrings.xml><?xml version="1.0" encoding="utf-8"?>
<sst xmlns="http://schemas.openxmlformats.org/spreadsheetml/2006/main" count="772" uniqueCount="124">
  <si>
    <t xml:space="preserve">HISTORICAL TREND IN TOTAL HEADCOUNT ENROLLMENT OF AFRICAN-AMERICAN STUDENTS AT PUBLIC INSTITUTIONS, </t>
  </si>
  <si>
    <t>AFRICAN-AMERICANS AS % OF TOTAL</t>
  </si>
  <si>
    <t>NUMBER OF AFRICAN-AMERICANS</t>
  </si>
  <si>
    <t>TOTAL ENROLLMENT</t>
  </si>
  <si>
    <t>FALL</t>
  </si>
  <si>
    <t>1981</t>
  </si>
  <si>
    <t>1997</t>
  </si>
  <si>
    <t>1998</t>
  </si>
  <si>
    <t>1999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</si>
  <si>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</si>
  <si>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</si>
  <si>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</si>
  <si>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</si>
  <si>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</si>
  <si>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</si>
  <si>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</si>
  <si>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</si>
  <si>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</si>
  <si>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PUBLIC BACCALAUREATE AND HIGHER DEGREE-GRANTING INSTITUTIONS</t>
  </si>
  <si>
    <t>LINCOLN</t>
  </si>
  <si>
    <t>TRUMAN</t>
  </si>
  <si>
    <t>UMC</t>
  </si>
  <si>
    <t>UMKC</t>
  </si>
  <si>
    <t>UMSL</t>
  </si>
  <si>
    <t xml:space="preserve">  Subtotal</t>
  </si>
  <si>
    <t>PUBLIC CERTIFICATE AND ASSOCIATE DEGREE-GRANTING INSTITUTIONS</t>
  </si>
  <si>
    <t>CROWDER</t>
  </si>
  <si>
    <t>EAST CENTRAL</t>
  </si>
  <si>
    <t>JEFFERSON</t>
  </si>
  <si>
    <t>LINN STATE</t>
  </si>
  <si>
    <t>N/A</t>
  </si>
  <si>
    <t>--</t>
  </si>
  <si>
    <t>MOBERLY</t>
  </si>
  <si>
    <t>STATE FAIR</t>
  </si>
  <si>
    <t>THREE RIVERS</t>
  </si>
  <si>
    <t>PUBLIC INSTITUTION TOTAL</t>
  </si>
  <si>
    <t>N/A indicates that data are not available.</t>
  </si>
  <si>
    <t>-- indicates that the institution was not or is no longer open.</t>
  </si>
  <si>
    <t xml:space="preserve">SOURCE: IPEDS EF, Fall Enrollment </t>
  </si>
  <si>
    <t xml:space="preserve">HISTORICAL TREND IN TOTAL HEADCOUNT ENROLLMENT OF AFRICAN-AMERICAN STUDENTS AT PRIVATE NOT-FOR-PROFIT </t>
  </si>
  <si>
    <t>PRIVATE NOT-FOR-PROFIT (INDEPENDENT) BACCALAUREATE AND HIGHER DEGREE-GRANTING INSTITUTIONS</t>
  </si>
  <si>
    <t>AVILA</t>
  </si>
  <si>
    <t>#</t>
  </si>
  <si>
    <t>COLUMBIA</t>
  </si>
  <si>
    <t>DRURY</t>
  </si>
  <si>
    <t>LINDENWOOD</t>
  </si>
  <si>
    <t>MARYVILLE</t>
  </si>
  <si>
    <t>PARK</t>
  </si>
  <si>
    <t>ROCKHURST</t>
  </si>
  <si>
    <t>STEPHENS</t>
  </si>
  <si>
    <t>WEBSTER</t>
  </si>
  <si>
    <t>WESTMINSTER</t>
  </si>
  <si>
    <t>PRIVATE NOT-FOR-PROFIT (INDEPENDENT) CERTIFICATE AND ASSOCIATE DEGREE-GRANTING INSTITUTIONS</t>
  </si>
  <si>
    <t>COTTEY</t>
  </si>
  <si>
    <t>KEMPER</t>
  </si>
  <si>
    <t>NORTHWEST MO. CC.</t>
  </si>
  <si>
    <t>ST. MARY'S</t>
  </si>
  <si>
    <t>ST. PAUL'S</t>
  </si>
  <si>
    <t>WENTWORTH</t>
  </si>
  <si>
    <t>PRIVATE NOT-FOR-PROFIT (INDEPENDENT) TOTAL</t>
  </si>
  <si>
    <t>STATE TOTAL</t>
  </si>
  <si>
    <t xml:space="preserve"> #Racial/ethnic data was not submitted.</t>
  </si>
  <si>
    <t>TABLE 63</t>
  </si>
  <si>
    <t>TABLE 64</t>
  </si>
  <si>
    <t xml:space="preserve"> </t>
  </si>
  <si>
    <t>HCT</t>
  </si>
  <si>
    <t>Instnm</t>
  </si>
  <si>
    <t>shsector</t>
  </si>
  <si>
    <t>eftotlt_Sum</t>
  </si>
  <si>
    <t>eftotlw_Sum</t>
  </si>
  <si>
    <t>efbkaat_Sum</t>
  </si>
  <si>
    <t>Percent Women</t>
  </si>
  <si>
    <t>Percent Black</t>
  </si>
  <si>
    <t>I2</t>
  </si>
  <si>
    <t>I4</t>
  </si>
  <si>
    <t>CMU CLAS</t>
  </si>
  <si>
    <t>CMU GR/EXT</t>
  </si>
  <si>
    <t>COFO</t>
  </si>
  <si>
    <t>CULVER</t>
  </si>
  <si>
    <t>EVANGLE</t>
  </si>
  <si>
    <t>FONTBOONE</t>
  </si>
  <si>
    <t>HLG</t>
  </si>
  <si>
    <t>MO BAP</t>
  </si>
  <si>
    <t>MO VAL</t>
  </si>
  <si>
    <t>SBU</t>
  </si>
  <si>
    <t>SLU</t>
  </si>
  <si>
    <t>WM JEWELL</t>
  </si>
  <si>
    <t>WM WOODS</t>
  </si>
  <si>
    <t>WUSTL</t>
  </si>
  <si>
    <t>P2</t>
  </si>
  <si>
    <t>MCCKC B&amp;T</t>
  </si>
  <si>
    <t>MCCKC BR</t>
  </si>
  <si>
    <t>MCCKC LV</t>
  </si>
  <si>
    <t>MCCKC MW</t>
  </si>
  <si>
    <t>MCCKC PV</t>
  </si>
  <si>
    <t>MINERAL</t>
  </si>
  <si>
    <t>MO STATE WP</t>
  </si>
  <si>
    <t>NCMO</t>
  </si>
  <si>
    <t>OTC</t>
  </si>
  <si>
    <t>ST CHARLES</t>
  </si>
  <si>
    <t>STLCC FP</t>
  </si>
  <si>
    <t>STLCC FV</t>
  </si>
  <si>
    <t>STLCC MC</t>
  </si>
  <si>
    <t>STLCC WW</t>
  </si>
  <si>
    <t>HSSU</t>
  </si>
  <si>
    <t>P4</t>
  </si>
  <si>
    <t>MO S&amp;T</t>
  </si>
  <si>
    <t>MO STATE</t>
  </si>
  <si>
    <t>MSSU</t>
  </si>
  <si>
    <t>MWSU</t>
  </si>
  <si>
    <t>NWMSU</t>
  </si>
  <si>
    <t>SEMO</t>
  </si>
  <si>
    <t>UCMO</t>
  </si>
  <si>
    <t>Row Labels</t>
  </si>
  <si>
    <t>Grand Total</t>
  </si>
  <si>
    <t>Sum of Percent Black</t>
  </si>
  <si>
    <t>Values</t>
  </si>
  <si>
    <t>Sum of efbkaat_Sum</t>
  </si>
  <si>
    <t>Sum of eftotlt_Sum</t>
  </si>
  <si>
    <t>Public</t>
  </si>
  <si>
    <t>Ind</t>
  </si>
  <si>
    <t>FALL 1981, FALL 2004-FALL 2010</t>
  </si>
  <si>
    <t>(INDEPENDENT) INSTITUTIONS, FALL 1981, FALL 2004-FALL 2010</t>
  </si>
  <si>
    <t>State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</si>
</sst>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5">
    <font>
      <sz val="7"/>
      <name val="TMS"/>
    </font>
    <font>
      <sz val="8"/>
      <name val="Times New Roman"/>
      <family val="1"/>
    </font>
    <font>
      <sz val="8"/>
      <color indexed="8"/>
      <name val="Times New Roman"/>
      <family val="1"/>
    </font>
    <font>
      <u/>
      <sz val="8"/>
      <name val="Times New Roman"/>
      <family val="1"/>
    </font>
    <font>
      <sz val="7"/>
      <name val="TMS"/>
    </font>
    <font>
      <sz val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8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8"/>
      </right>
      <top style="double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8"/>
      </bottom>
      <diagonal/>
    </border>
    <border>
      <left style="thin">
        <color indexed="8"/>
      </left>
      <right style="thin">
        <color indexed="64"/>
      </right>
      <top/>
      <bottom style="double">
        <color indexed="8"/>
      </bottom>
      <diagonal/>
    </border>
    <border>
      <left style="thick">
        <color indexed="8"/>
      </left>
      <right/>
      <top style="double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64"/>
      </right>
      <top style="thin">
        <color indexed="8"/>
      </top>
      <bottom/>
      <diagonal/>
    </border>
    <border>
      <left style="thick">
        <color indexed="8"/>
      </left>
      <right style="thin">
        <color indexed="64"/>
      </right>
      <top/>
      <bottom/>
      <diagonal/>
    </border>
    <border>
      <left style="thick">
        <color indexed="8"/>
      </left>
      <right style="thin">
        <color indexed="64"/>
      </right>
      <top/>
      <bottom style="double">
        <color indexed="64"/>
      </bottom>
      <diagonal/>
    </border>
    <border>
      <left style="thick">
        <color indexed="8"/>
      </left>
      <right style="thin">
        <color indexed="64"/>
      </right>
      <top/>
      <bottom style="double">
        <color indexed="8"/>
      </bottom>
      <diagonal/>
    </border>
    <border>
      <left style="thick">
        <color indexed="8"/>
      </left>
      <right/>
      <top style="double">
        <color indexed="8"/>
      </top>
      <bottom style="thin">
        <color indexed="64"/>
      </bottom>
      <diagonal/>
    </border>
    <border>
      <left/>
      <right style="thick">
        <color indexed="8"/>
      </right>
      <top style="double">
        <color indexed="8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 style="double">
        <color indexed="8"/>
      </top>
      <bottom style="thin">
        <color indexed="8"/>
      </bottom>
      <diagonal/>
    </border>
    <border>
      <left/>
      <right style="thick">
        <color indexed="8"/>
      </right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auto="1"/>
      </bottom>
      <diagonal/>
    </border>
    <border>
      <left/>
      <right/>
      <top style="thin">
        <color auto="1"/>
      </top>
      <bottom/>
      <diagonal/>
    </border>
    <border>
      <left style="thick">
        <color indexed="8"/>
      </left>
      <right style="thick">
        <color indexed="8"/>
      </right>
      <top style="double">
        <color indexed="8"/>
      </top>
      <bottom style="thin">
        <color indexed="64"/>
      </bottom>
      <diagonal/>
    </border>
    <border>
      <left/>
      <right/>
      <top style="double">
        <color indexed="8"/>
      </top>
      <bottom style="thin">
        <color indexed="8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28">
    <xf numFmtId="0" fontId="4" fillId="0" borderId="0" xfId="0" applyFont="1" applyAlignment="1"/>
    <xf numFmtId="0" fontId="1" fillId="2" borderId="0" xfId="0" applyNumberFormat="1" applyFont="1" applyFill="1" applyAlignment="1"/>
    <xf numFmtId="0" fontId="5" fillId="2" borderId="0" xfId="0" applyFont="1" applyFill="1" applyAlignment="1"/>
    <xf numFmtId="0" fontId="5" fillId="2" borderId="0" xfId="0" applyFont="1" applyFill="1" applyBorder="1" applyAlignment="1"/>
    <xf numFmtId="0" fontId="4" fillId="2" borderId="0" xfId="0" applyFont="1" applyFill="1" applyAlignment="1"/>
    <xf numFmtId="0" fontId="2" fillId="2" borderId="0" xfId="0" applyFont="1" applyFill="1" applyAlignment="1"/>
    <xf numFmtId="0" fontId="2" fillId="2" borderId="0" xfId="0" applyFont="1" applyFill="1" applyBorder="1" applyAlignment="1"/>
    <xf numFmtId="0" fontId="5" fillId="2" borderId="4" xfId="0" applyFont="1" applyFill="1" applyBorder="1" applyAlignment="1"/>
    <xf numFmtId="0" fontId="5" fillId="2" borderId="1" xfId="0" applyFont="1" applyFill="1" applyBorder="1" applyAlignment="1"/>
    <xf numFmtId="0" fontId="6" fillId="2" borderId="3" xfId="0" applyNumberFormat="1" applyFont="1" applyFill="1" applyBorder="1" applyAlignment="1">
      <alignment horizontal="centerContinuous"/>
    </xf>
    <xf numFmtId="0" fontId="2" fillId="2" borderId="1" xfId="0" applyNumberFormat="1" applyFont="1" applyFill="1" applyBorder="1" applyAlignment="1">
      <alignment horizontal="centerContinuous"/>
    </xf>
    <xf numFmtId="0" fontId="2" fillId="2" borderId="6" xfId="0" applyNumberFormat="1" applyFont="1" applyFill="1" applyBorder="1" applyAlignment="1">
      <alignment horizontal="centerContinuous"/>
    </xf>
    <xf numFmtId="0" fontId="2" fillId="2" borderId="23" xfId="0" applyNumberFormat="1" applyFont="1" applyFill="1" applyBorder="1" applyAlignment="1">
      <alignment horizontal="centerContinuous"/>
    </xf>
    <xf numFmtId="0" fontId="2" fillId="2" borderId="24" xfId="0" applyNumberFormat="1" applyFont="1" applyFill="1" applyBorder="1" applyAlignment="1">
      <alignment horizontal="centerContinuous"/>
    </xf>
    <xf numFmtId="0" fontId="2" fillId="2" borderId="25" xfId="0" applyNumberFormat="1" applyFont="1" applyFill="1" applyBorder="1" applyAlignment="1">
      <alignment horizontal="centerContinuous"/>
    </xf>
    <xf numFmtId="0" fontId="6" fillId="2" borderId="18" xfId="0" applyNumberFormat="1" applyFont="1" applyFill="1" applyBorder="1" applyAlignment="1">
      <alignment horizontal="centerContinuous"/>
    </xf>
    <xf numFmtId="0" fontId="5" fillId="2" borderId="0" xfId="0" applyNumberFormat="1" applyFont="1" applyFill="1" applyAlignment="1">
      <alignment horizontal="centerContinuous"/>
    </xf>
    <xf numFmtId="0" fontId="1" fillId="2" borderId="0" xfId="0" applyNumberFormat="1" applyFont="1" applyFill="1" applyAlignment="1">
      <alignment horizontal="centerContinuous"/>
    </xf>
    <xf numFmtId="0" fontId="5" fillId="2" borderId="1" xfId="0" applyNumberFormat="1" applyFont="1" applyFill="1" applyBorder="1" applyAlignment="1">
      <alignment horizontal="centerContinuous"/>
    </xf>
    <xf numFmtId="0" fontId="5" fillId="2" borderId="0" xfId="0" applyFont="1" applyFill="1" applyAlignment="1">
      <alignment horizontal="centerContinuous"/>
    </xf>
    <xf numFmtId="0" fontId="5" fillId="2" borderId="15" xfId="0" applyFont="1" applyFill="1" applyBorder="1" applyAlignment="1"/>
    <xf numFmtId="0" fontId="6" fillId="2" borderId="1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2" xfId="0" applyNumberFormat="1" applyFont="1" applyFill="1" applyBorder="1" applyAlignment="1">
      <alignment horizontal="center"/>
    </xf>
    <xf numFmtId="0" fontId="6" fillId="2" borderId="11" xfId="0" applyNumberFormat="1" applyFont="1" applyFill="1" applyBorder="1" applyAlignment="1">
      <alignment horizontal="center"/>
    </xf>
    <xf numFmtId="0" fontId="6" fillId="2" borderId="0" xfId="0" applyNumberFormat="1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2" borderId="2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0" xfId="0" applyNumberFormat="1" applyFont="1" applyFill="1" applyAlignment="1">
      <alignment horizontal="center"/>
    </xf>
    <xf numFmtId="0" fontId="6" fillId="2" borderId="8" xfId="0" applyNumberFormat="1" applyFont="1" applyFill="1" applyBorder="1" applyAlignment="1">
      <alignment horizontal="center"/>
    </xf>
    <xf numFmtId="0" fontId="6" fillId="2" borderId="5" xfId="0" applyNumberFormat="1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7" fillId="2" borderId="0" xfId="0" applyNumberFormat="1" applyFont="1" applyFill="1" applyAlignment="1">
      <alignment horizontal="center"/>
    </xf>
    <xf numFmtId="0" fontId="5" fillId="2" borderId="5" xfId="0" applyFont="1" applyFill="1" applyBorder="1" applyAlignment="1"/>
    <xf numFmtId="0" fontId="2" fillId="2" borderId="12" xfId="0" applyFont="1" applyFill="1" applyBorder="1" applyAlignment="1"/>
    <xf numFmtId="0" fontId="2" fillId="2" borderId="2" xfId="0" applyFont="1" applyFill="1" applyBorder="1" applyAlignment="1"/>
    <xf numFmtId="0" fontId="2" fillId="2" borderId="7" xfId="0" applyFont="1" applyFill="1" applyBorder="1" applyAlignment="1"/>
    <xf numFmtId="0" fontId="2" fillId="2" borderId="19" xfId="0" applyFont="1" applyFill="1" applyBorder="1" applyAlignment="1"/>
    <xf numFmtId="0" fontId="5" fillId="2" borderId="2" xfId="0" applyFont="1" applyFill="1" applyBorder="1" applyAlignment="1"/>
    <xf numFmtId="0" fontId="5" fillId="2" borderId="7" xfId="0" applyFont="1" applyFill="1" applyBorder="1" applyAlignment="1"/>
    <xf numFmtId="0" fontId="3" fillId="2" borderId="0" xfId="0" applyNumberFormat="1" applyFont="1" applyFill="1" applyAlignment="1">
      <alignment horizontal="left" wrapText="1"/>
    </xf>
    <xf numFmtId="0" fontId="2" fillId="2" borderId="13" xfId="0" applyFont="1" applyFill="1" applyBorder="1" applyAlignment="1"/>
    <xf numFmtId="0" fontId="2" fillId="2" borderId="8" xfId="0" applyFont="1" applyFill="1" applyBorder="1" applyAlignment="1"/>
    <xf numFmtId="0" fontId="2" fillId="2" borderId="20" xfId="0" applyFont="1" applyFill="1" applyBorder="1" applyAlignment="1"/>
    <xf numFmtId="0" fontId="5" fillId="2" borderId="8" xfId="0" applyFont="1" applyFill="1" applyBorder="1" applyAlignment="1"/>
    <xf numFmtId="0" fontId="1" fillId="2" borderId="0" xfId="0" applyFont="1" applyFill="1" applyAlignment="1"/>
    <xf numFmtId="9" fontId="2" fillId="2" borderId="13" xfId="0" applyNumberFormat="1" applyFont="1" applyFill="1" applyBorder="1" applyAlignment="1"/>
    <xf numFmtId="9" fontId="2" fillId="2" borderId="0" xfId="0" applyNumberFormat="1" applyFont="1" applyFill="1" applyAlignment="1"/>
    <xf numFmtId="9" fontId="2" fillId="2" borderId="8" xfId="0" applyNumberFormat="1" applyFont="1" applyFill="1" applyBorder="1" applyAlignment="1"/>
    <xf numFmtId="9" fontId="2" fillId="2" borderId="0" xfId="0" applyNumberFormat="1" applyFont="1" applyFill="1" applyBorder="1" applyAlignment="1"/>
    <xf numFmtId="3" fontId="2" fillId="2" borderId="20" xfId="0" applyNumberFormat="1" applyFont="1" applyFill="1" applyBorder="1" applyAlignment="1"/>
    <xf numFmtId="3" fontId="5" fillId="2" borderId="0" xfId="0" applyNumberFormat="1" applyFont="1" applyFill="1" applyAlignment="1"/>
    <xf numFmtId="3" fontId="5" fillId="2" borderId="8" xfId="0" applyNumberFormat="1" applyFont="1" applyFill="1" applyBorder="1" applyAlignment="1"/>
    <xf numFmtId="0" fontId="5" fillId="2" borderId="0" xfId="0" applyNumberFormat="1" applyFont="1" applyFill="1" applyAlignment="1"/>
    <xf numFmtId="3" fontId="11" fillId="2" borderId="0" xfId="0" applyNumberFormat="1" applyFont="1" applyFill="1" applyBorder="1"/>
    <xf numFmtId="3" fontId="1" fillId="2" borderId="0" xfId="0" applyNumberFormat="1" applyFont="1" applyFill="1" applyAlignment="1"/>
    <xf numFmtId="3" fontId="1" fillId="2" borderId="8" xfId="0" applyNumberFormat="1" applyFont="1" applyFill="1" applyBorder="1" applyAlignment="1"/>
    <xf numFmtId="3" fontId="2" fillId="2" borderId="0" xfId="0" applyNumberFormat="1" applyFont="1" applyFill="1" applyAlignment="1"/>
    <xf numFmtId="3" fontId="2" fillId="2" borderId="8" xfId="0" applyNumberFormat="1" applyFont="1" applyFill="1" applyBorder="1" applyAlignment="1"/>
    <xf numFmtId="9" fontId="10" fillId="2" borderId="13" xfId="0" applyNumberFormat="1" applyFont="1" applyFill="1" applyBorder="1" applyAlignment="1">
      <alignment horizontal="right"/>
    </xf>
    <xf numFmtId="9" fontId="10" fillId="2" borderId="0" xfId="0" applyNumberFormat="1" applyFont="1" applyFill="1" applyAlignment="1">
      <alignment horizontal="right"/>
    </xf>
    <xf numFmtId="9" fontId="10" fillId="2" borderId="8" xfId="0" applyNumberFormat="1" applyFont="1" applyFill="1" applyBorder="1" applyAlignment="1">
      <alignment horizontal="right"/>
    </xf>
    <xf numFmtId="3" fontId="10" fillId="2" borderId="20" xfId="0" applyNumberFormat="1" applyFont="1" applyFill="1" applyBorder="1" applyAlignment="1">
      <alignment horizontal="right"/>
    </xf>
    <xf numFmtId="3" fontId="8" fillId="2" borderId="0" xfId="0" applyNumberFormat="1" applyFont="1" applyFill="1" applyAlignment="1">
      <alignment horizontal="right"/>
    </xf>
    <xf numFmtId="3" fontId="8" fillId="2" borderId="8" xfId="0" applyNumberFormat="1" applyFont="1" applyFill="1" applyBorder="1" applyAlignment="1">
      <alignment horizontal="right"/>
    </xf>
    <xf numFmtId="9" fontId="10" fillId="2" borderId="20" xfId="0" applyNumberFormat="1" applyFont="1" applyFill="1" applyBorder="1" applyAlignment="1">
      <alignment horizontal="right"/>
    </xf>
    <xf numFmtId="9" fontId="8" fillId="2" borderId="0" xfId="0" applyNumberFormat="1" applyFont="1" applyFill="1" applyAlignment="1">
      <alignment horizontal="right"/>
    </xf>
    <xf numFmtId="9" fontId="10" fillId="2" borderId="0" xfId="0" applyNumberFormat="1" applyFont="1" applyFill="1" applyBorder="1" applyAlignment="1">
      <alignment horizontal="right"/>
    </xf>
    <xf numFmtId="9" fontId="2" fillId="2" borderId="0" xfId="0" quotePrefix="1" applyNumberFormat="1" applyFont="1" applyFill="1" applyBorder="1" applyAlignment="1">
      <alignment horizontal="right"/>
    </xf>
    <xf numFmtId="0" fontId="8" fillId="2" borderId="0" xfId="0" applyFont="1" applyFill="1" applyAlignment="1">
      <alignment horizontal="right"/>
    </xf>
    <xf numFmtId="0" fontId="10" fillId="2" borderId="13" xfId="0" applyFont="1" applyFill="1" applyBorder="1" applyAlignment="1">
      <alignment horizontal="right"/>
    </xf>
    <xf numFmtId="0" fontId="10" fillId="2" borderId="20" xfId="0" applyFont="1" applyFill="1" applyBorder="1" applyAlignment="1">
      <alignment horizontal="right"/>
    </xf>
    <xf numFmtId="3" fontId="8" fillId="2" borderId="27" xfId="0" applyNumberFormat="1" applyFont="1" applyFill="1" applyBorder="1" applyAlignment="1">
      <alignment horizontal="right"/>
    </xf>
    <xf numFmtId="3" fontId="8" fillId="2" borderId="29" xfId="0" applyNumberFormat="1" applyFont="1" applyFill="1" applyBorder="1" applyAlignment="1">
      <alignment horizontal="right"/>
    </xf>
    <xf numFmtId="0" fontId="1" fillId="2" borderId="4" xfId="0" applyFont="1" applyFill="1" applyBorder="1" applyAlignment="1"/>
    <xf numFmtId="9" fontId="2" fillId="2" borderId="14" xfId="0" applyNumberFormat="1" applyFont="1" applyFill="1" applyBorder="1" applyAlignment="1"/>
    <xf numFmtId="9" fontId="2" fillId="2" borderId="4" xfId="0" applyNumberFormat="1" applyFont="1" applyFill="1" applyBorder="1" applyAlignment="1"/>
    <xf numFmtId="9" fontId="2" fillId="2" borderId="9" xfId="0" applyNumberFormat="1" applyFont="1" applyFill="1" applyBorder="1" applyAlignment="1"/>
    <xf numFmtId="9" fontId="2" fillId="2" borderId="26" xfId="0" applyNumberFormat="1" applyFont="1" applyFill="1" applyBorder="1" applyAlignment="1"/>
    <xf numFmtId="3" fontId="2" fillId="2" borderId="21" xfId="0" applyNumberFormat="1" applyFont="1" applyFill="1" applyBorder="1" applyAlignment="1"/>
    <xf numFmtId="3" fontId="2" fillId="2" borderId="4" xfId="0" applyNumberFormat="1" applyFont="1" applyFill="1" applyBorder="1" applyAlignment="1"/>
    <xf numFmtId="3" fontId="2" fillId="2" borderId="9" xfId="0" applyNumberFormat="1" applyFont="1" applyFill="1" applyBorder="1" applyAlignment="1"/>
    <xf numFmtId="9" fontId="5" fillId="2" borderId="0" xfId="0" applyNumberFormat="1" applyFont="1" applyFill="1" applyAlignment="1"/>
    <xf numFmtId="9" fontId="5" fillId="2" borderId="0" xfId="0" applyNumberFormat="1" applyFont="1" applyFill="1" applyBorder="1" applyAlignment="1"/>
    <xf numFmtId="0" fontId="6" fillId="2" borderId="1" xfId="0" applyNumberFormat="1" applyFont="1" applyFill="1" applyBorder="1" applyAlignment="1">
      <alignment horizontal="centerContinuous"/>
    </xf>
    <xf numFmtId="9" fontId="2" fillId="2" borderId="2" xfId="0" applyNumberFormat="1" applyFont="1" applyFill="1" applyBorder="1" applyAlignment="1"/>
    <xf numFmtId="9" fontId="2" fillId="2" borderId="7" xfId="0" applyNumberFormat="1" applyFont="1" applyFill="1" applyBorder="1" applyAlignment="1"/>
    <xf numFmtId="1" fontId="8" fillId="2" borderId="0" xfId="0" applyNumberFormat="1" applyFont="1" applyFill="1" applyAlignment="1">
      <alignment horizontal="right"/>
    </xf>
    <xf numFmtId="9" fontId="1" fillId="2" borderId="0" xfId="0" applyNumberFormat="1" applyFont="1" applyFill="1" applyAlignment="1"/>
    <xf numFmtId="9" fontId="2" fillId="2" borderId="13" xfId="0" applyNumberFormat="1" applyFont="1" applyFill="1" applyBorder="1" applyAlignment="1">
      <alignment horizontal="right"/>
    </xf>
    <xf numFmtId="3" fontId="2" fillId="2" borderId="20" xfId="0" applyNumberFormat="1" applyFont="1" applyFill="1" applyBorder="1" applyAlignment="1">
      <alignment horizontal="right"/>
    </xf>
    <xf numFmtId="1" fontId="5" fillId="2" borderId="0" xfId="0" applyNumberFormat="1" applyFont="1" applyFill="1" applyAlignment="1"/>
    <xf numFmtId="0" fontId="5" fillId="2" borderId="8" xfId="0" applyNumberFormat="1" applyFont="1" applyFill="1" applyBorder="1" applyAlignment="1"/>
    <xf numFmtId="1" fontId="7" fillId="2" borderId="0" xfId="0" applyNumberFormat="1" applyFont="1" applyFill="1" applyAlignment="1">
      <alignment horizontal="center"/>
    </xf>
    <xf numFmtId="0" fontId="9" fillId="2" borderId="0" xfId="0" applyNumberFormat="1" applyFont="1" applyFill="1" applyAlignment="1">
      <alignment horizontal="left" wrapText="1"/>
    </xf>
    <xf numFmtId="9" fontId="2" fillId="2" borderId="17" xfId="0" applyNumberFormat="1" applyFont="1" applyFill="1" applyBorder="1" applyAlignment="1"/>
    <xf numFmtId="9" fontId="2" fillId="2" borderId="10" xfId="0" applyNumberFormat="1" applyFont="1" applyFill="1" applyBorder="1" applyAlignment="1"/>
    <xf numFmtId="9" fontId="2" fillId="2" borderId="16" xfId="0" applyNumberFormat="1" applyFont="1" applyFill="1" applyBorder="1" applyAlignment="1"/>
    <xf numFmtId="3" fontId="2" fillId="2" borderId="22" xfId="0" applyNumberFormat="1" applyFont="1" applyFill="1" applyBorder="1" applyAlignment="1"/>
    <xf numFmtId="3" fontId="2" fillId="2" borderId="10" xfId="0" applyNumberFormat="1" applyFont="1" applyFill="1" applyBorder="1" applyAlignment="1"/>
    <xf numFmtId="0" fontId="1" fillId="2" borderId="1" xfId="0" applyNumberFormat="1" applyFont="1" applyFill="1" applyBorder="1" applyAlignment="1"/>
    <xf numFmtId="9" fontId="5" fillId="2" borderId="1" xfId="0" applyNumberFormat="1" applyFont="1" applyFill="1" applyBorder="1" applyAlignment="1"/>
    <xf numFmtId="0" fontId="0" fillId="2" borderId="0" xfId="0" applyFill="1" applyAlignment="1"/>
    <xf numFmtId="9" fontId="2" fillId="2" borderId="30" xfId="0" applyNumberFormat="1" applyFont="1" applyFill="1" applyBorder="1" applyAlignment="1"/>
    <xf numFmtId="0" fontId="6" fillId="2" borderId="31" xfId="0" applyNumberFormat="1" applyFont="1" applyFill="1" applyBorder="1" applyAlignment="1">
      <alignment horizontal="center"/>
    </xf>
    <xf numFmtId="3" fontId="2" fillId="2" borderId="30" xfId="0" applyNumberFormat="1" applyFont="1" applyFill="1" applyBorder="1" applyAlignment="1"/>
    <xf numFmtId="0" fontId="2" fillId="2" borderId="32" xfId="0" applyNumberFormat="1" applyFont="1" applyFill="1" applyBorder="1" applyAlignment="1">
      <alignment horizontal="centerContinuous"/>
    </xf>
    <xf numFmtId="3" fontId="11" fillId="2" borderId="0" xfId="0" applyNumberFormat="1" applyFont="1" applyFill="1" applyBorder="1" applyAlignment="1">
      <alignment horizontal="right"/>
    </xf>
    <xf numFmtId="164" fontId="14" fillId="0" borderId="0" xfId="1" applyNumberFormat="1" applyFont="1" applyAlignment="1">
      <alignment horizontal="right"/>
    </xf>
    <xf numFmtId="3" fontId="2" fillId="2" borderId="0" xfId="0" applyNumberFormat="1" applyFont="1" applyFill="1" applyAlignment="1">
      <alignment horizontal="right"/>
    </xf>
    <xf numFmtId="0" fontId="0" fillId="0" borderId="0" xfId="0"/>
    <xf numFmtId="0" fontId="4" fillId="0" borderId="0" xfId="0" pivotButton="1" applyFont="1" applyAlignme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indent="1"/>
    </xf>
    <xf numFmtId="0" fontId="4" fillId="0" borderId="0" xfId="0" applyNumberFormat="1" applyFont="1" applyAlignment="1"/>
    <xf numFmtId="0" fontId="0" fillId="0" borderId="0" xfId="0" applyAlignment="1"/>
    <xf numFmtId="0" fontId="2" fillId="2" borderId="18" xfId="0" applyNumberFormat="1" applyFont="1" applyFill="1" applyBorder="1" applyAlignment="1">
      <alignment horizontal="centerContinuous"/>
    </xf>
    <xf numFmtId="9" fontId="8" fillId="2" borderId="0" xfId="0" applyNumberFormat="1" applyFont="1" applyFill="1" applyBorder="1" applyAlignment="1">
      <alignment horizontal="right"/>
    </xf>
    <xf numFmtId="9" fontId="2" fillId="2" borderId="28" xfId="0" applyNumberFormat="1" applyFont="1" applyFill="1" applyBorder="1" applyAlignment="1"/>
    <xf numFmtId="0" fontId="5" fillId="2" borderId="33" xfId="0" applyFont="1" applyFill="1" applyBorder="1" applyAlignment="1"/>
    <xf numFmtId="3" fontId="5" fillId="2" borderId="30" xfId="0" applyNumberFormat="1" applyFont="1" applyFill="1" applyBorder="1" applyAlignme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echamber" refreshedDate="40785.656379629632" createdVersion="3" refreshedVersion="3" minRefreshableVersion="3" recordCount="60">
  <cacheSource type="worksheet">
    <worksheetSource ref="A1:G61" sheet="data_2010"/>
  </cacheSource>
  <cacheFields count="7">
    <cacheField name="Instnm" numFmtId="0">
      <sharedItems count="60">
        <s v="COTTEY"/>
        <s v="WENTWORTH"/>
        <s v="AVILA"/>
        <s v="CMU CLAS"/>
        <s v="CMU GR/EXT"/>
        <s v="COFO"/>
        <s v="COLUMBIA"/>
        <s v="CULVER"/>
        <s v="DRURY"/>
        <s v="EVANGLE"/>
        <s v="FONTBOONE"/>
        <s v="HLG"/>
        <s v="LINDENWOOD"/>
        <s v="MARYVILLE"/>
        <s v="MO BAP"/>
        <s v="MO VAL"/>
        <s v="PARK"/>
        <s v="ROCKHURST"/>
        <s v="SBU"/>
        <s v="SLU"/>
        <s v="STEPHENS"/>
        <s v="WEBSTER"/>
        <s v="WESTMINSTER"/>
        <s v="WM JEWELL"/>
        <s v="WM WOODS"/>
        <s v="WUSTL"/>
        <s v="CROWDER"/>
        <s v="EAST CENTRAL"/>
        <s v="JEFFERSON"/>
        <s v="LINN STATE"/>
        <s v="MCCKC B&amp;T"/>
        <s v="MCCKC BR"/>
        <s v="MCCKC LV"/>
        <s v="MCCKC MW"/>
        <s v="MCCKC PV"/>
        <s v="MINERAL"/>
        <s v="MO STATE WP"/>
        <s v="MOBERLY"/>
        <s v="NCMO"/>
        <s v="OTC"/>
        <s v="ST CHARLES"/>
        <s v="STATE FAIR"/>
        <s v="STLCC FP"/>
        <s v="STLCC FV"/>
        <s v="STLCC MC"/>
        <s v="STLCC WW"/>
        <s v="THREE RIVERS"/>
        <s v="HSSU"/>
        <s v="LINCOLN"/>
        <s v="MO S&amp;T"/>
        <s v="MO STATE"/>
        <s v="MSSU"/>
        <s v="MWSU"/>
        <s v="NWMSU"/>
        <s v="SEMO"/>
        <s v="TRUMAN"/>
        <s v="UCMO"/>
        <s v="UMC"/>
        <s v="UMKC"/>
        <s v="UMSL"/>
      </sharedItems>
    </cacheField>
    <cacheField name="shsector" numFmtId="0">
      <sharedItems count="4">
        <s v="I2"/>
        <s v="I4"/>
        <s v="P2"/>
        <s v="P4"/>
      </sharedItems>
    </cacheField>
    <cacheField name="eftotlt_Sum" numFmtId="0">
      <sharedItems containsSemiMixedTypes="0" containsString="0" containsNumber="1" containsInteger="1" minValue="307" maxValue="32341"/>
    </cacheField>
    <cacheField name="eftotlw_Sum" numFmtId="0">
      <sharedItems containsSemiMixedTypes="0" containsString="0" containsNumber="1" containsInteger="1" minValue="101" maxValue="17224"/>
    </cacheField>
    <cacheField name="efbkaat_Sum" numFmtId="0">
      <sharedItems containsSemiMixedTypes="0" containsString="0" containsNumber="1" containsInteger="1" minValue="8" maxValue="5703"/>
    </cacheField>
    <cacheField name="Percent Women" numFmtId="0">
      <sharedItems containsSemiMixedTypes="0" containsString="0" containsNumber="1" minValue="0.10799319727891156" maxValue="1"/>
    </cacheField>
    <cacheField name="Percent Black" numFmtId="0">
      <sharedItems containsSemiMixedTypes="0" containsString="0" containsNumber="1" minValue="5.7971014492753624E-3" maxValue="0.83916083916083917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0">
  <r>
    <x v="0"/>
    <x v="0"/>
    <n v="307"/>
    <n v="307"/>
    <n v="17"/>
    <n v="1"/>
    <n v="5.5374592833876218E-2"/>
  </r>
  <r>
    <x v="1"/>
    <x v="0"/>
    <n v="939"/>
    <n v="521"/>
    <n v="15"/>
    <n v="0.55484558040468579"/>
    <n v="1.5974440894568689E-2"/>
  </r>
  <r>
    <x v="2"/>
    <x v="1"/>
    <n v="1876"/>
    <n v="1240"/>
    <n v="308"/>
    <n v="0.66098081023454158"/>
    <n v="0.16417910447761194"/>
  </r>
  <r>
    <x v="3"/>
    <x v="1"/>
    <n v="1176"/>
    <n v="595"/>
    <n v="84"/>
    <n v="0.50595238095238093"/>
    <n v="7.1428571428571425E-2"/>
  </r>
  <r>
    <x v="4"/>
    <x v="1"/>
    <n v="3420"/>
    <n v="2289"/>
    <n v="43"/>
    <n v="0.66929824561403506"/>
    <n v="1.2573099415204679E-2"/>
  </r>
  <r>
    <x v="5"/>
    <x v="1"/>
    <n v="1380"/>
    <n v="788"/>
    <n v="8"/>
    <n v="0.57101449275362315"/>
    <n v="5.7971014492753624E-3"/>
  </r>
  <r>
    <x v="6"/>
    <x v="1"/>
    <n v="16962"/>
    <n v="10331"/>
    <n v="3192"/>
    <n v="0.60906732696615962"/>
    <n v="0.18818535550053059"/>
  </r>
  <r>
    <x v="7"/>
    <x v="1"/>
    <n v="771"/>
    <n v="435"/>
    <n v="77"/>
    <n v="0.56420233463035019"/>
    <n v="9.9870298313878086E-2"/>
  </r>
  <r>
    <x v="8"/>
    <x v="1"/>
    <n v="5572"/>
    <n v="3546"/>
    <n v="208"/>
    <n v="0.63639626704953334"/>
    <n v="3.7329504666188083E-2"/>
  </r>
  <r>
    <x v="9"/>
    <x v="1"/>
    <n v="2072"/>
    <n v="1221"/>
    <n v="87"/>
    <n v="0.5892857142857143"/>
    <n v="4.1988416988416988E-2"/>
  </r>
  <r>
    <x v="10"/>
    <x v="1"/>
    <n v="2532"/>
    <n v="1822"/>
    <n v="723"/>
    <n v="0.71958925750394942"/>
    <n v="0.28554502369668244"/>
  </r>
  <r>
    <x v="11"/>
    <x v="1"/>
    <n v="1191"/>
    <n v="777"/>
    <n v="28"/>
    <n v="0.65239294710327456"/>
    <n v="2.3509655751469353E-2"/>
  </r>
  <r>
    <x v="12"/>
    <x v="1"/>
    <n v="11345"/>
    <n v="6833"/>
    <n v="1832"/>
    <n v="0.60229175848391359"/>
    <n v="0.1614808285588365"/>
  </r>
  <r>
    <x v="13"/>
    <x v="1"/>
    <n v="3676"/>
    <n v="2765"/>
    <n v="299"/>
    <n v="0.7521762785636561"/>
    <n v="8.1338411316648526E-2"/>
  </r>
  <r>
    <x v="14"/>
    <x v="1"/>
    <n v="5062"/>
    <n v="3213"/>
    <n v="307"/>
    <n v="0.6347293559857764"/>
    <n v="6.0647965231133937E-2"/>
  </r>
  <r>
    <x v="15"/>
    <x v="1"/>
    <n v="1790"/>
    <n v="837"/>
    <n v="302"/>
    <n v="0.46759776536312847"/>
    <n v="0.16871508379888267"/>
  </r>
  <r>
    <x v="16"/>
    <x v="1"/>
    <n v="12022"/>
    <n v="6069"/>
    <n v="2312"/>
    <n v="0.50482448843786387"/>
    <n v="0.19231409083347198"/>
  </r>
  <r>
    <x v="17"/>
    <x v="1"/>
    <n v="2895"/>
    <n v="1782"/>
    <n v="188"/>
    <n v="0.61554404145077724"/>
    <n v="6.4939550949913646E-2"/>
  </r>
  <r>
    <x v="18"/>
    <x v="1"/>
    <n v="3669"/>
    <n v="2377"/>
    <n v="149"/>
    <n v="0.64786045243935675"/>
    <n v="4.061052057781412E-2"/>
  </r>
  <r>
    <x v="19"/>
    <x v="1"/>
    <n v="17709"/>
    <n v="10474"/>
    <n v="1121"/>
    <n v="0.5914506747981253"/>
    <n v="6.3301146309785991E-2"/>
  </r>
  <r>
    <x v="20"/>
    <x v="1"/>
    <n v="1123"/>
    <n v="1061"/>
    <n v="150"/>
    <n v="0.94479073909171862"/>
    <n v="0.13357079252003562"/>
  </r>
  <r>
    <x v="21"/>
    <x v="1"/>
    <n v="19342"/>
    <n v="11295"/>
    <n v="5703"/>
    <n v="0.58396236169992766"/>
    <n v="0.29485058422086652"/>
  </r>
  <r>
    <x v="22"/>
    <x v="1"/>
    <n v="1167"/>
    <n v="520"/>
    <n v="88"/>
    <n v="0.44558697514995715"/>
    <n v="7.5407026563838908E-2"/>
  </r>
  <r>
    <x v="23"/>
    <x v="1"/>
    <n v="1060"/>
    <n v="634"/>
    <n v="36"/>
    <n v="0.59811320754716979"/>
    <n v="3.3962264150943396E-2"/>
  </r>
  <r>
    <x v="24"/>
    <x v="1"/>
    <n v="2185"/>
    <n v="1508"/>
    <n v="90"/>
    <n v="0.69016018306636151"/>
    <n v="4.1189931350114416E-2"/>
  </r>
  <r>
    <x v="25"/>
    <x v="1"/>
    <n v="13820"/>
    <n v="7024"/>
    <n v="822"/>
    <n v="0.50824891461649779"/>
    <n v="5.9479015918958031E-2"/>
  </r>
  <r>
    <x v="26"/>
    <x v="2"/>
    <n v="5219"/>
    <n v="3306"/>
    <n v="73"/>
    <n v="0.63345468480551825"/>
    <n v="1.3987353899214409E-2"/>
  </r>
  <r>
    <x v="27"/>
    <x v="2"/>
    <n v="4471"/>
    <n v="2628"/>
    <n v="47"/>
    <n v="0.58778796689778579"/>
    <n v="1.0512189666741221E-2"/>
  </r>
  <r>
    <x v="28"/>
    <x v="2"/>
    <n v="6192"/>
    <n v="3652"/>
    <n v="111"/>
    <n v="0.58979328165374678"/>
    <n v="1.7926356589147287E-2"/>
  </r>
  <r>
    <x v="29"/>
    <x v="2"/>
    <n v="1176"/>
    <n v="127"/>
    <n v="21"/>
    <n v="0.10799319727891156"/>
    <n v="1.7857142857142856E-2"/>
  </r>
  <r>
    <x v="30"/>
    <x v="2"/>
    <n v="827"/>
    <n v="101"/>
    <n v="91"/>
    <n v="0.12212817412333736"/>
    <n v="0.11003627569528417"/>
  </r>
  <r>
    <x v="31"/>
    <x v="2"/>
    <n v="3537"/>
    <n v="2088"/>
    <n v="143"/>
    <n v="0.59033078880407119"/>
    <n v="4.0429742719819056E-2"/>
  </r>
  <r>
    <x v="32"/>
    <x v="2"/>
    <n v="6539"/>
    <n v="3715"/>
    <n v="974"/>
    <n v="0.56812968343783454"/>
    <n v="0.14895243921088852"/>
  </r>
  <r>
    <x v="33"/>
    <x v="2"/>
    <n v="5385"/>
    <n v="3184"/>
    <n v="296"/>
    <n v="0.59127205199628596"/>
    <n v="5.4967502321262768E-2"/>
  </r>
  <r>
    <x v="34"/>
    <x v="2"/>
    <n v="4956"/>
    <n v="3465"/>
    <n v="1877"/>
    <n v="0.69915254237288138"/>
    <n v="0.37873284907183213"/>
  </r>
  <r>
    <x v="35"/>
    <x v="2"/>
    <n v="3958"/>
    <n v="2525"/>
    <n v="83"/>
    <n v="0.63794845881758466"/>
    <n v="2.0970186963112682E-2"/>
  </r>
  <r>
    <x v="36"/>
    <x v="2"/>
    <n v="2219"/>
    <n v="1322"/>
    <n v="20"/>
    <n v="0.59576385759351058"/>
    <n v="9.0130689499774673E-3"/>
  </r>
  <r>
    <x v="37"/>
    <x v="2"/>
    <n v="5446"/>
    <n v="3204"/>
    <n v="515"/>
    <n v="0.58832170400293793"/>
    <n v="9.4564818215203822E-2"/>
  </r>
  <r>
    <x v="38"/>
    <x v="2"/>
    <n v="1829"/>
    <n v="1302"/>
    <n v="35"/>
    <n v="0.71186440677966101"/>
    <n v="1.9136139967195188E-2"/>
  </r>
  <r>
    <x v="39"/>
    <x v="2"/>
    <n v="13907"/>
    <n v="7971"/>
    <n v="395"/>
    <n v="0.57316459337024517"/>
    <n v="2.8402962536851945E-2"/>
  </r>
  <r>
    <x v="40"/>
    <x v="2"/>
    <n v="8202"/>
    <n v="4681"/>
    <n v="448"/>
    <n v="0.5707144598878322"/>
    <n v="5.4620824189222143E-2"/>
  </r>
  <r>
    <x v="41"/>
    <x v="2"/>
    <n v="4823"/>
    <n v="3056"/>
    <n v="176"/>
    <n v="0.6336305204229733"/>
    <n v="3.6491810076715737E-2"/>
  </r>
  <r>
    <x v="42"/>
    <x v="2"/>
    <n v="8716"/>
    <n v="5539"/>
    <n v="4556"/>
    <n v="0.63549793483249195"/>
    <n v="0.52271684258834328"/>
  </r>
  <r>
    <x v="43"/>
    <x v="2"/>
    <n v="7436"/>
    <n v="4886"/>
    <n v="4507"/>
    <n v="0.65707369553523398"/>
    <n v="0.60610543302850994"/>
  </r>
  <r>
    <x v="44"/>
    <x v="2"/>
    <n v="11430"/>
    <n v="6536"/>
    <n v="1023"/>
    <n v="0.57182852143482066"/>
    <n v="8.9501312335958011E-2"/>
  </r>
  <r>
    <x v="45"/>
    <x v="2"/>
    <n v="1530"/>
    <n v="866"/>
    <n v="51"/>
    <n v="0.56601307189542482"/>
    <n v="3.3333333333333333E-2"/>
  </r>
  <r>
    <x v="46"/>
    <x v="2"/>
    <n v="3730"/>
    <n v="2455"/>
    <n v="399"/>
    <n v="0.6581769436997319"/>
    <n v="0.10697050938337802"/>
  </r>
  <r>
    <x v="47"/>
    <x v="3"/>
    <n v="1716"/>
    <n v="1147"/>
    <n v="1440"/>
    <n v="0.6684149184149184"/>
    <n v="0.83916083916083917"/>
  </r>
  <r>
    <x v="48"/>
    <x v="3"/>
    <n v="3349"/>
    <n v="2036"/>
    <n v="1242"/>
    <n v="0.60794266945356823"/>
    <n v="0.37085697223051656"/>
  </r>
  <r>
    <x v="49"/>
    <x v="3"/>
    <n v="7205"/>
    <n v="1609"/>
    <n v="315"/>
    <n v="0.22331714087439278"/>
    <n v="4.3719639139486469E-2"/>
  </r>
  <r>
    <x v="50"/>
    <x v="3"/>
    <n v="20472"/>
    <n v="11488"/>
    <n v="608"/>
    <n v="0.56115670183665489"/>
    <n v="2.9699101211410707E-2"/>
  </r>
  <r>
    <x v="51"/>
    <x v="3"/>
    <n v="5802"/>
    <n v="3368"/>
    <n v="223"/>
    <n v="0.58048948638400555"/>
    <n v="3.8435022406066874E-2"/>
  </r>
  <r>
    <x v="52"/>
    <x v="3"/>
    <n v="6095"/>
    <n v="3454"/>
    <n v="557"/>
    <n v="0.56669401148482368"/>
    <n v="9.1386382280557829E-2"/>
  </r>
  <r>
    <x v="53"/>
    <x v="3"/>
    <n v="7142"/>
    <n v="3987"/>
    <n v="352"/>
    <n v="0.55824698963875663"/>
    <n v="4.9285914309717169E-2"/>
  </r>
  <r>
    <x v="54"/>
    <x v="3"/>
    <n v="11033"/>
    <n v="6584"/>
    <n v="870"/>
    <n v="0.59675518897851898"/>
    <n v="7.8854346052750837E-2"/>
  </r>
  <r>
    <x v="55"/>
    <x v="3"/>
    <n v="6035"/>
    <n v="3581"/>
    <n v="245"/>
    <n v="0.59337199668599838"/>
    <n v="4.059652029826015E-2"/>
  </r>
  <r>
    <x v="56"/>
    <x v="3"/>
    <n v="11351"/>
    <n v="6335"/>
    <n v="901"/>
    <n v="0.55810060787595805"/>
    <n v="7.9376266408245966E-2"/>
  </r>
  <r>
    <x v="57"/>
    <x v="3"/>
    <n v="32341"/>
    <n v="17224"/>
    <n v="2066"/>
    <n v="0.53257475031693513"/>
    <n v="6.3881759995052717E-2"/>
  </r>
  <r>
    <x v="58"/>
    <x v="3"/>
    <n v="15259"/>
    <n v="8712"/>
    <n v="1727"/>
    <n v="0.57094173930139591"/>
    <n v="0.11317910741201914"/>
  </r>
  <r>
    <x v="59"/>
    <x v="3"/>
    <n v="16791"/>
    <n v="10206"/>
    <n v="2520"/>
    <n v="0.60782562086832237"/>
    <n v="0.1500804002144005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8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D69" firstHeaderRow="1" firstDataRow="2" firstDataCol="1"/>
  <pivotFields count="7">
    <pivotField axis="axisRow" showAll="0">
      <items count="61">
        <item x="2"/>
        <item x="3"/>
        <item x="4"/>
        <item x="5"/>
        <item x="6"/>
        <item x="0"/>
        <item x="26"/>
        <item x="7"/>
        <item x="8"/>
        <item x="27"/>
        <item x="9"/>
        <item x="10"/>
        <item x="11"/>
        <item x="47"/>
        <item x="28"/>
        <item x="48"/>
        <item x="12"/>
        <item x="29"/>
        <item x="13"/>
        <item x="31"/>
        <item x="30"/>
        <item x="32"/>
        <item x="33"/>
        <item x="34"/>
        <item x="35"/>
        <item x="14"/>
        <item x="49"/>
        <item x="50"/>
        <item x="37"/>
        <item x="36"/>
        <item x="15"/>
        <item x="51"/>
        <item x="52"/>
        <item x="38"/>
        <item x="53"/>
        <item x="39"/>
        <item x="16"/>
        <item x="17"/>
        <item x="19"/>
        <item x="18"/>
        <item x="54"/>
        <item x="40"/>
        <item x="20"/>
        <item x="43"/>
        <item x="42"/>
        <item x="44"/>
        <item x="45"/>
        <item x="41"/>
        <item x="46"/>
        <item x="55"/>
        <item x="56"/>
        <item x="57"/>
        <item x="58"/>
        <item x="59"/>
        <item x="25"/>
        <item x="21"/>
        <item x="1"/>
        <item x="22"/>
        <item x="23"/>
        <item x="24"/>
        <item t="default"/>
      </items>
    </pivotField>
    <pivotField axis="axisRow" showAll="0" sortType="descending">
      <items count="5">
        <item x="3"/>
        <item x="2"/>
        <item x="1"/>
        <item x="0"/>
        <item t="default"/>
      </items>
    </pivotField>
    <pivotField dataField="1" showAll="0"/>
    <pivotField showAll="0"/>
    <pivotField dataField="1" showAll="0"/>
    <pivotField showAll="0"/>
    <pivotField dataField="1" showAll="0"/>
  </pivotFields>
  <rowFields count="2">
    <field x="1"/>
    <field x="0"/>
  </rowFields>
  <rowItems count="65">
    <i>
      <x/>
    </i>
    <i r="1">
      <x v="13"/>
    </i>
    <i r="1">
      <x v="15"/>
    </i>
    <i r="1">
      <x v="26"/>
    </i>
    <i r="1">
      <x v="27"/>
    </i>
    <i r="1">
      <x v="31"/>
    </i>
    <i r="1">
      <x v="32"/>
    </i>
    <i r="1">
      <x v="34"/>
    </i>
    <i r="1">
      <x v="40"/>
    </i>
    <i r="1">
      <x v="49"/>
    </i>
    <i r="1">
      <x v="50"/>
    </i>
    <i r="1">
      <x v="51"/>
    </i>
    <i r="1">
      <x v="52"/>
    </i>
    <i r="1">
      <x v="53"/>
    </i>
    <i>
      <x v="1"/>
    </i>
    <i r="1">
      <x v="6"/>
    </i>
    <i r="1">
      <x v="9"/>
    </i>
    <i r="1">
      <x v="14"/>
    </i>
    <i r="1">
      <x v="17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8"/>
    </i>
    <i r="1">
      <x v="29"/>
    </i>
    <i r="1">
      <x v="33"/>
    </i>
    <i r="1">
      <x v="35"/>
    </i>
    <i r="1">
      <x v="41"/>
    </i>
    <i r="1">
      <x v="43"/>
    </i>
    <i r="1">
      <x v="44"/>
    </i>
    <i r="1">
      <x v="45"/>
    </i>
    <i r="1">
      <x v="46"/>
    </i>
    <i r="1">
      <x v="47"/>
    </i>
    <i r="1">
      <x v="48"/>
    </i>
    <i>
      <x v="2"/>
    </i>
    <i r="1">
      <x/>
    </i>
    <i r="1">
      <x v="1"/>
    </i>
    <i r="1">
      <x v="2"/>
    </i>
    <i r="1">
      <x v="3"/>
    </i>
    <i r="1">
      <x v="4"/>
    </i>
    <i r="1">
      <x v="7"/>
    </i>
    <i r="1">
      <x v="8"/>
    </i>
    <i r="1">
      <x v="10"/>
    </i>
    <i r="1">
      <x v="11"/>
    </i>
    <i r="1">
      <x v="12"/>
    </i>
    <i r="1">
      <x v="16"/>
    </i>
    <i r="1">
      <x v="18"/>
    </i>
    <i r="1">
      <x v="25"/>
    </i>
    <i r="1">
      <x v="30"/>
    </i>
    <i r="1">
      <x v="36"/>
    </i>
    <i r="1">
      <x v="37"/>
    </i>
    <i r="1">
      <x v="38"/>
    </i>
    <i r="1">
      <x v="39"/>
    </i>
    <i r="1">
      <x v="42"/>
    </i>
    <i r="1">
      <x v="54"/>
    </i>
    <i r="1">
      <x v="55"/>
    </i>
    <i r="1">
      <x v="57"/>
    </i>
    <i r="1">
      <x v="58"/>
    </i>
    <i r="1">
      <x v="59"/>
    </i>
    <i>
      <x v="3"/>
    </i>
    <i r="1">
      <x v="5"/>
    </i>
    <i r="1">
      <x v="56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Percent Black" fld="6" baseField="0" baseItem="0"/>
    <dataField name="Sum of efbkaat_Sum" fld="4" baseField="0" baseItem="0"/>
    <dataField name="Sum of eftotlt_Sum" fld="2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HZ194"/>
  <sheetViews>
    <sheetView tabSelected="1" showOutlineSymbols="0" view="pageBreakPreview" zoomScaleNormal="100" zoomScaleSheetLayoutView="100" workbookViewId="0">
      <selection activeCell="BD103" sqref="BD103"/>
    </sheetView>
  </sheetViews>
  <sheetFormatPr defaultColWidth="15.796875" defaultRowHeight="11.25"/>
  <cols>
    <col min="1" max="1" width="40.59765625" style="2" customWidth="1"/>
    <col min="2" max="2" width="6.796875" style="2" customWidth="1"/>
    <col min="3" max="6" width="6.796875" style="2" hidden="1" customWidth="1"/>
    <col min="7" max="8" width="7" style="2" hidden="1" customWidth="1"/>
    <col min="9" max="9" width="7" style="3" hidden="1" customWidth="1"/>
    <col min="10" max="16" width="7" style="3" customWidth="1"/>
    <col min="17" max="17" width="8" style="2" customWidth="1"/>
    <col min="18" max="19" width="8" style="2" hidden="1" customWidth="1"/>
    <col min="20" max="20" width="7" style="2" hidden="1" customWidth="1"/>
    <col min="21" max="24" width="8" style="2" hidden="1" customWidth="1"/>
    <col min="25" max="25" width="8" style="2" bestFit="1" customWidth="1"/>
    <col min="26" max="26" width="8" style="2" customWidth="1"/>
    <col min="27" max="30" width="9.19921875" style="2" hidden="1" customWidth="1"/>
    <col min="31" max="31" width="25.796875" style="2" hidden="1" customWidth="1"/>
    <col min="32" max="50" width="9.19921875" style="2" hidden="1" customWidth="1"/>
    <col min="51" max="51" width="8" style="2" hidden="1" customWidth="1"/>
    <col min="52" max="53" width="8" style="2" customWidth="1"/>
    <col min="54" max="54" width="15.796875" style="2" hidden="1" customWidth="1"/>
    <col min="55" max="55" width="8" style="2" customWidth="1"/>
    <col min="56" max="56" width="8" style="2" bestFit="1" customWidth="1"/>
    <col min="57" max="57" width="8.3984375" style="2" customWidth="1"/>
    <col min="58" max="234" width="15.796875" style="2" customWidth="1"/>
    <col min="235" max="16384" width="15.796875" style="4"/>
  </cols>
  <sheetData>
    <row r="1" spans="1:234" ht="12.75" customHeight="1">
      <c r="A1" s="1" t="s">
        <v>62</v>
      </c>
    </row>
    <row r="2" spans="1:234" ht="12.75" customHeight="1">
      <c r="A2" s="1" t="s">
        <v>0</v>
      </c>
    </row>
    <row r="3" spans="1:234" ht="12.75" customHeight="1">
      <c r="A3" s="1" t="s">
        <v>121</v>
      </c>
    </row>
    <row r="4" spans="1:234" ht="12.75" customHeight="1" thickBot="1">
      <c r="A4" s="5"/>
      <c r="B4" s="5"/>
      <c r="C4" s="5"/>
      <c r="D4" s="5"/>
      <c r="E4" s="5"/>
      <c r="F4" s="5"/>
      <c r="G4" s="5"/>
      <c r="H4" s="5"/>
      <c r="I4" s="6"/>
      <c r="J4" s="6"/>
      <c r="K4" s="6"/>
      <c r="L4" s="6"/>
      <c r="M4" s="6"/>
      <c r="N4" s="6"/>
      <c r="O4" s="6"/>
      <c r="P4" s="6"/>
      <c r="Q4" s="5"/>
      <c r="R4" s="5"/>
      <c r="S4" s="5"/>
      <c r="T4" s="5"/>
      <c r="U4" s="5"/>
      <c r="V4" s="5"/>
      <c r="W4" s="5"/>
      <c r="X4" s="5"/>
      <c r="Y4" s="5"/>
      <c r="Z4" s="5"/>
      <c r="AV4" s="5"/>
      <c r="AW4" s="7"/>
      <c r="AX4" s="7"/>
      <c r="AY4" s="5"/>
      <c r="AZ4" s="5"/>
      <c r="BA4" s="5"/>
      <c r="BC4" s="5"/>
      <c r="BD4" s="5"/>
    </row>
    <row r="5" spans="1:234" ht="12.75" customHeight="1" thickTop="1">
      <c r="A5" s="8"/>
      <c r="B5" s="9" t="s">
        <v>1</v>
      </c>
      <c r="C5" s="10"/>
      <c r="D5" s="10"/>
      <c r="E5" s="10"/>
      <c r="F5" s="10"/>
      <c r="G5" s="10"/>
      <c r="H5" s="10"/>
      <c r="I5" s="11"/>
      <c r="J5" s="11"/>
      <c r="K5" s="12"/>
      <c r="L5" s="13"/>
      <c r="M5" s="11"/>
      <c r="N5" s="113"/>
      <c r="O5" s="14"/>
      <c r="P5" s="123"/>
      <c r="Q5" s="15" t="s">
        <v>2</v>
      </c>
      <c r="R5" s="10"/>
      <c r="S5" s="10"/>
      <c r="T5" s="10"/>
      <c r="U5" s="10"/>
      <c r="V5" s="10"/>
      <c r="W5" s="10"/>
      <c r="X5" s="10"/>
      <c r="Y5" s="10"/>
      <c r="Z5" s="10"/>
      <c r="AA5" s="16" t="s">
        <v>64</v>
      </c>
      <c r="AB5" s="16"/>
      <c r="AC5" s="16"/>
      <c r="AD5" s="16"/>
      <c r="AE5" s="17" t="s">
        <v>3</v>
      </c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8"/>
      <c r="AV5" s="10"/>
      <c r="AW5" s="19"/>
      <c r="AX5" s="20"/>
      <c r="AY5" s="10"/>
      <c r="AZ5" s="10"/>
      <c r="BA5" s="10"/>
      <c r="BC5" s="10"/>
      <c r="BD5" s="10"/>
    </row>
    <row r="6" spans="1:234" ht="12.75" customHeight="1">
      <c r="B6" s="21" t="s">
        <v>4</v>
      </c>
      <c r="C6" s="22" t="s">
        <v>4</v>
      </c>
      <c r="D6" s="22" t="s">
        <v>4</v>
      </c>
      <c r="E6" s="23" t="s">
        <v>4</v>
      </c>
      <c r="F6" s="24" t="s">
        <v>4</v>
      </c>
      <c r="G6" s="24" t="s">
        <v>4</v>
      </c>
      <c r="H6" s="24" t="s">
        <v>4</v>
      </c>
      <c r="I6" s="25" t="s">
        <v>4</v>
      </c>
      <c r="J6" s="24" t="s">
        <v>4</v>
      </c>
      <c r="K6" s="26" t="s">
        <v>4</v>
      </c>
      <c r="L6" s="26" t="s">
        <v>4</v>
      </c>
      <c r="M6" s="111" t="s">
        <v>4</v>
      </c>
      <c r="N6" s="26" t="s">
        <v>4</v>
      </c>
      <c r="O6" s="26" t="s">
        <v>4</v>
      </c>
      <c r="P6" s="26" t="s">
        <v>4</v>
      </c>
      <c r="Q6" s="27" t="s">
        <v>4</v>
      </c>
      <c r="R6" s="28" t="s">
        <v>4</v>
      </c>
      <c r="S6" s="28" t="s">
        <v>4</v>
      </c>
      <c r="T6" s="29" t="s">
        <v>4</v>
      </c>
      <c r="U6" s="30" t="s">
        <v>4</v>
      </c>
      <c r="V6" s="30" t="s">
        <v>4</v>
      </c>
      <c r="W6" s="30" t="s">
        <v>4</v>
      </c>
      <c r="X6" s="30" t="s">
        <v>4</v>
      </c>
      <c r="Y6" s="30" t="s">
        <v>4</v>
      </c>
      <c r="Z6" s="30" t="s">
        <v>4</v>
      </c>
      <c r="AA6" s="30" t="s">
        <v>4</v>
      </c>
      <c r="AB6" s="30" t="s">
        <v>4</v>
      </c>
      <c r="AC6" s="30" t="s">
        <v>4</v>
      </c>
      <c r="AD6" s="30" t="s">
        <v>4</v>
      </c>
      <c r="AE6" s="30" t="s">
        <v>4</v>
      </c>
      <c r="AF6" s="30" t="s">
        <v>4</v>
      </c>
      <c r="AG6" s="30" t="s">
        <v>4</v>
      </c>
      <c r="AH6" s="30" t="s">
        <v>4</v>
      </c>
      <c r="AI6" s="30" t="s">
        <v>4</v>
      </c>
      <c r="AJ6" s="30" t="s">
        <v>4</v>
      </c>
      <c r="AK6" s="30" t="s">
        <v>4</v>
      </c>
      <c r="AL6" s="30" t="s">
        <v>4</v>
      </c>
      <c r="AM6" s="30" t="s">
        <v>4</v>
      </c>
      <c r="AN6" s="30" t="s">
        <v>4</v>
      </c>
      <c r="AO6" s="30" t="s">
        <v>4</v>
      </c>
      <c r="AP6" s="30" t="s">
        <v>4</v>
      </c>
      <c r="AQ6" s="30" t="s">
        <v>4</v>
      </c>
      <c r="AR6" s="30" t="s">
        <v>4</v>
      </c>
      <c r="AS6" s="30" t="s">
        <v>4</v>
      </c>
      <c r="AT6" s="30" t="s">
        <v>4</v>
      </c>
      <c r="AU6" s="30" t="s">
        <v>4</v>
      </c>
      <c r="AV6" s="30" t="s">
        <v>4</v>
      </c>
      <c r="AW6" s="30" t="s">
        <v>4</v>
      </c>
      <c r="AX6" s="30" t="s">
        <v>4</v>
      </c>
      <c r="AY6" s="30" t="s">
        <v>4</v>
      </c>
      <c r="AZ6" s="30" t="s">
        <v>4</v>
      </c>
      <c r="BA6" s="30" t="s">
        <v>4</v>
      </c>
      <c r="BB6" s="31">
        <v>2007</v>
      </c>
      <c r="BC6" s="30" t="s">
        <v>4</v>
      </c>
      <c r="BD6" s="30" t="s">
        <v>4</v>
      </c>
      <c r="BE6" s="30" t="s">
        <v>4</v>
      </c>
    </row>
    <row r="7" spans="1:234" ht="12.75" customHeight="1">
      <c r="B7" s="32" t="s">
        <v>5</v>
      </c>
      <c r="C7" s="33" t="s">
        <v>6</v>
      </c>
      <c r="D7" s="34" t="s">
        <v>7</v>
      </c>
      <c r="E7" s="35" t="s">
        <v>8</v>
      </c>
      <c r="F7" s="34">
        <v>2000</v>
      </c>
      <c r="G7" s="34">
        <v>2001</v>
      </c>
      <c r="H7" s="34">
        <v>2002</v>
      </c>
      <c r="I7" s="36">
        <v>2003</v>
      </c>
      <c r="J7" s="26">
        <v>2004</v>
      </c>
      <c r="K7" s="36">
        <v>2005</v>
      </c>
      <c r="L7" s="26">
        <v>2006</v>
      </c>
      <c r="M7" s="26">
        <v>2007</v>
      </c>
      <c r="N7" s="26">
        <v>2008</v>
      </c>
      <c r="O7" s="26">
        <v>2009</v>
      </c>
      <c r="P7" s="26">
        <v>2010</v>
      </c>
      <c r="Q7" s="37" t="s">
        <v>5</v>
      </c>
      <c r="R7" s="33" t="s">
        <v>6</v>
      </c>
      <c r="S7" s="34" t="s">
        <v>7</v>
      </c>
      <c r="T7" s="35" t="s">
        <v>8</v>
      </c>
      <c r="U7" s="34">
        <v>2000</v>
      </c>
      <c r="V7" s="34">
        <v>2001</v>
      </c>
      <c r="W7" s="34">
        <v>2002</v>
      </c>
      <c r="X7" s="34">
        <v>2003</v>
      </c>
      <c r="Y7" s="34">
        <v>2004</v>
      </c>
      <c r="Z7" s="34">
        <v>2005</v>
      </c>
      <c r="AA7" s="38" t="s">
        <v>5</v>
      </c>
      <c r="AB7" s="38" t="s">
        <v>9</v>
      </c>
      <c r="AC7" s="38" t="s">
        <v>10</v>
      </c>
      <c r="AD7" s="38" t="s">
        <v>11</v>
      </c>
      <c r="AE7" s="38" t="s">
        <v>12</v>
      </c>
      <c r="AF7" s="38" t="s">
        <v>13</v>
      </c>
      <c r="AG7" s="38" t="s">
        <v>14</v>
      </c>
      <c r="AH7" s="38" t="s">
        <v>15</v>
      </c>
      <c r="AI7" s="38" t="s">
        <v>16</v>
      </c>
      <c r="AJ7" s="38" t="s">
        <v>17</v>
      </c>
      <c r="AK7" s="2">
        <v>1991</v>
      </c>
      <c r="AL7" s="2">
        <v>1992</v>
      </c>
      <c r="AM7" s="2">
        <v>1993</v>
      </c>
      <c r="AN7" s="2">
        <v>1994</v>
      </c>
      <c r="AO7" s="2">
        <v>1995</v>
      </c>
      <c r="AP7" s="2">
        <v>1996</v>
      </c>
      <c r="AQ7" s="38" t="s">
        <v>6</v>
      </c>
      <c r="AR7" s="39" t="s">
        <v>7</v>
      </c>
      <c r="AS7" s="39" t="s">
        <v>8</v>
      </c>
      <c r="AT7" s="39">
        <v>2000</v>
      </c>
      <c r="AU7" s="39">
        <v>2001</v>
      </c>
      <c r="AV7" s="34">
        <v>2002</v>
      </c>
      <c r="AW7" s="36">
        <v>2003</v>
      </c>
      <c r="AX7" s="40">
        <v>2004</v>
      </c>
      <c r="AY7" s="34">
        <v>2005</v>
      </c>
      <c r="AZ7" s="34">
        <v>2006</v>
      </c>
      <c r="BA7" s="34">
        <v>2007</v>
      </c>
      <c r="BB7" s="31" t="s">
        <v>65</v>
      </c>
      <c r="BC7" s="34">
        <v>2008</v>
      </c>
      <c r="BD7" s="36">
        <v>2009</v>
      </c>
      <c r="BE7" s="36">
        <v>2010</v>
      </c>
    </row>
    <row r="8" spans="1:234" ht="12.75" customHeight="1">
      <c r="B8" s="41"/>
      <c r="C8" s="42"/>
      <c r="D8" s="42"/>
      <c r="E8" s="43"/>
      <c r="F8" s="42"/>
      <c r="G8" s="42"/>
      <c r="H8" s="42"/>
      <c r="I8" s="6"/>
      <c r="J8" s="42"/>
      <c r="K8" s="6"/>
      <c r="L8" s="42"/>
      <c r="M8" s="42"/>
      <c r="N8" s="42"/>
      <c r="O8" s="42"/>
      <c r="P8" s="42"/>
      <c r="Q8" s="44"/>
      <c r="R8" s="45"/>
      <c r="S8" s="45"/>
      <c r="T8" s="46"/>
      <c r="U8" s="45"/>
      <c r="V8" s="45"/>
      <c r="W8" s="45"/>
      <c r="X8" s="45"/>
      <c r="Y8" s="45"/>
      <c r="Z8" s="45"/>
      <c r="AU8" s="45"/>
      <c r="AY8" s="45"/>
      <c r="AZ8" s="45"/>
      <c r="BA8" s="45"/>
      <c r="BC8" s="45"/>
      <c r="BD8" s="3"/>
    </row>
    <row r="9" spans="1:234" ht="34.5" customHeight="1">
      <c r="A9" s="47" t="s">
        <v>18</v>
      </c>
      <c r="B9" s="48"/>
      <c r="C9" s="5"/>
      <c r="D9" s="5"/>
      <c r="E9" s="49"/>
      <c r="F9" s="5"/>
      <c r="G9" s="5"/>
      <c r="H9" s="5"/>
      <c r="I9" s="6"/>
      <c r="J9" s="6"/>
      <c r="K9" s="6"/>
      <c r="L9" s="6"/>
      <c r="M9" s="6"/>
      <c r="N9" s="6"/>
      <c r="O9" s="6"/>
      <c r="P9" s="6"/>
      <c r="Q9" s="50"/>
      <c r="T9" s="51"/>
    </row>
    <row r="10" spans="1:234" ht="12.75" customHeight="1">
      <c r="A10" s="52"/>
      <c r="B10" s="48"/>
      <c r="C10" s="5"/>
      <c r="D10" s="5"/>
      <c r="E10" s="49"/>
      <c r="F10" s="5"/>
      <c r="G10" s="5"/>
      <c r="H10" s="5"/>
      <c r="I10" s="6"/>
      <c r="J10" s="6"/>
      <c r="K10" s="6"/>
      <c r="L10" s="6"/>
      <c r="M10" s="6"/>
      <c r="N10" s="6"/>
      <c r="O10" s="6"/>
      <c r="P10" s="6"/>
      <c r="Q10" s="50"/>
      <c r="T10" s="51"/>
    </row>
    <row r="11" spans="1:234" ht="12.75" customHeight="1">
      <c r="A11" s="52" t="str">
        <f>pivot!A6</f>
        <v>HSSU</v>
      </c>
      <c r="B11" s="53">
        <v>0.79146537842190012</v>
      </c>
      <c r="C11" s="54">
        <v>0.7383449883449883</v>
      </c>
      <c r="D11" s="54">
        <v>0.72449567723342945</v>
      </c>
      <c r="E11" s="55">
        <v>0.75</v>
      </c>
      <c r="F11" s="54">
        <v>0.77036632039365771</v>
      </c>
      <c r="G11" s="54">
        <v>0.79646017699115046</v>
      </c>
      <c r="H11" s="54">
        <f t="shared" ref="H11:H23" si="0">+W11/AV11</f>
        <v>0.79928861788617889</v>
      </c>
      <c r="I11" s="56">
        <f t="shared" ref="I11:I23" si="1">+X11/AW11</f>
        <v>0.85328389830508478</v>
      </c>
      <c r="J11" s="56">
        <f t="shared" ref="J11:J23" si="2">+Y11/AX11</f>
        <v>0.838006230529595</v>
      </c>
      <c r="K11" s="56">
        <f>+Z11/AY11</f>
        <v>0.8694344163658243</v>
      </c>
      <c r="L11" s="56">
        <v>0.89775160599571735</v>
      </c>
      <c r="M11" s="56">
        <v>0.90010626992561105</v>
      </c>
      <c r="N11" s="56">
        <v>0.90453074433656955</v>
      </c>
      <c r="O11" s="56">
        <v>0.91145281018027569</v>
      </c>
      <c r="P11" s="56">
        <f>pivot!B6</f>
        <v>0.83916083916083917</v>
      </c>
      <c r="Q11" s="57">
        <v>983</v>
      </c>
      <c r="R11" s="58">
        <f>328+939</f>
        <v>1267</v>
      </c>
      <c r="S11" s="58">
        <f>328+929</f>
        <v>1257</v>
      </c>
      <c r="T11" s="59">
        <f>335+979</f>
        <v>1314</v>
      </c>
      <c r="U11" s="58">
        <v>1409</v>
      </c>
      <c r="V11" s="58">
        <f>339+1191</f>
        <v>1530</v>
      </c>
      <c r="W11" s="58">
        <f>336+1237</f>
        <v>1573</v>
      </c>
      <c r="X11" s="58">
        <f>320+1291</f>
        <v>1611</v>
      </c>
      <c r="Y11" s="58">
        <f>361+984</f>
        <v>1345</v>
      </c>
      <c r="Z11" s="58">
        <v>1445</v>
      </c>
      <c r="AA11" s="2">
        <v>1242</v>
      </c>
      <c r="AB11" s="2">
        <v>1027</v>
      </c>
      <c r="AC11" s="2">
        <v>1131</v>
      </c>
      <c r="AD11" s="2">
        <v>1175</v>
      </c>
      <c r="AE11" s="2">
        <v>1319</v>
      </c>
      <c r="AF11" s="2">
        <v>1374</v>
      </c>
      <c r="AG11" s="2">
        <v>1603</v>
      </c>
      <c r="AH11" s="2">
        <v>1725</v>
      </c>
      <c r="AI11" s="2">
        <v>1771</v>
      </c>
      <c r="AJ11" s="2">
        <f>509+1464</f>
        <v>1973</v>
      </c>
      <c r="AK11" s="2">
        <f>561+1419</f>
        <v>1980</v>
      </c>
      <c r="AL11" s="2">
        <f>473+1505</f>
        <v>1978</v>
      </c>
      <c r="AM11" s="2">
        <f>530+1368</f>
        <v>1898</v>
      </c>
      <c r="AN11" s="2">
        <f>526+1231</f>
        <v>1757</v>
      </c>
      <c r="AO11" s="2">
        <f>484+1190</f>
        <v>1674</v>
      </c>
      <c r="AP11" s="2">
        <f>518+1205</f>
        <v>1723</v>
      </c>
      <c r="AQ11" s="2">
        <f>525+1191</f>
        <v>1716</v>
      </c>
      <c r="AR11" s="60">
        <f>546+1189</f>
        <v>1735</v>
      </c>
      <c r="AS11" s="60">
        <f>530+1222</f>
        <v>1752</v>
      </c>
      <c r="AT11" s="60">
        <v>1829</v>
      </c>
      <c r="AU11" s="60">
        <f>1921-0</f>
        <v>1921</v>
      </c>
      <c r="AV11" s="2">
        <v>1968</v>
      </c>
      <c r="AW11" s="2">
        <f>1911-16-7</f>
        <v>1888</v>
      </c>
      <c r="AX11" s="2">
        <v>1605</v>
      </c>
      <c r="AY11" s="2">
        <v>1662</v>
      </c>
      <c r="AZ11" s="58">
        <v>1677</v>
      </c>
      <c r="BA11" s="61">
        <v>1694</v>
      </c>
      <c r="BB11" s="58">
        <v>1882</v>
      </c>
      <c r="BC11" s="61">
        <v>1677</v>
      </c>
      <c r="BD11" s="61">
        <v>1719</v>
      </c>
      <c r="BE11" s="58">
        <f>pivot!C6</f>
        <v>1440</v>
      </c>
    </row>
    <row r="12" spans="1:234" ht="12.75" customHeight="1">
      <c r="A12" s="52" t="str">
        <f>pivot!A7</f>
        <v>LINCOLN</v>
      </c>
      <c r="B12" s="53">
        <v>0.38638899219040534</v>
      </c>
      <c r="C12" s="54">
        <v>0.24462098642833499</v>
      </c>
      <c r="D12" s="54">
        <v>0.27552623311341501</v>
      </c>
      <c r="E12" s="55">
        <v>0.3065099457504521</v>
      </c>
      <c r="F12" s="54">
        <v>0.32490213791026801</v>
      </c>
      <c r="G12" s="54">
        <v>0.3346456692913386</v>
      </c>
      <c r="H12" s="54">
        <f t="shared" si="0"/>
        <v>0.32858990944372574</v>
      </c>
      <c r="I12" s="56">
        <f t="shared" si="1"/>
        <v>0.34096036094102483</v>
      </c>
      <c r="J12" s="56">
        <f t="shared" si="2"/>
        <v>0.35297709923664122</v>
      </c>
      <c r="K12" s="56">
        <f t="shared" ref="K12:K23" si="3">+Z12/AY12</f>
        <v>0.38993710691823902</v>
      </c>
      <c r="L12" s="56">
        <v>0.35328784119106699</v>
      </c>
      <c r="M12" s="56">
        <v>0.36692015209125473</v>
      </c>
      <c r="N12" s="56">
        <v>0.37118044387262783</v>
      </c>
      <c r="O12" s="56">
        <v>0.38382619191309597</v>
      </c>
      <c r="P12" s="56">
        <f>pivot!B7</f>
        <v>0.37085697223051656</v>
      </c>
      <c r="Q12" s="57">
        <v>1039</v>
      </c>
      <c r="R12" s="58">
        <f>315+424</f>
        <v>739</v>
      </c>
      <c r="S12" s="58">
        <f>380+497</f>
        <v>877</v>
      </c>
      <c r="T12" s="59">
        <f>460+557</f>
        <v>1017</v>
      </c>
      <c r="U12" s="58">
        <v>1079</v>
      </c>
      <c r="V12" s="58">
        <f>509+596</f>
        <v>1105</v>
      </c>
      <c r="W12" s="58">
        <f>444+572</f>
        <v>1016</v>
      </c>
      <c r="X12" s="58">
        <f>479+579</f>
        <v>1058</v>
      </c>
      <c r="Y12" s="58">
        <f>514+642</f>
        <v>1156</v>
      </c>
      <c r="Z12" s="58">
        <f>550+690</f>
        <v>1240</v>
      </c>
      <c r="AA12" s="2">
        <v>2689</v>
      </c>
      <c r="AB12" s="2">
        <v>2847</v>
      </c>
      <c r="AC12" s="2">
        <v>2894</v>
      </c>
      <c r="AD12" s="2">
        <v>2951</v>
      </c>
      <c r="AE12" s="2">
        <v>3321</v>
      </c>
      <c r="AF12" s="2">
        <v>2486</v>
      </c>
      <c r="AG12" s="2">
        <v>2478</v>
      </c>
      <c r="AH12" s="2">
        <f>1128+1615</f>
        <v>2743</v>
      </c>
      <c r="AI12" s="2">
        <f>1259+1790</f>
        <v>3049</v>
      </c>
      <c r="AJ12" s="2">
        <v>3619</v>
      </c>
      <c r="AK12" s="2">
        <f>1653+2448</f>
        <v>4101</v>
      </c>
      <c r="AL12" s="2">
        <f>1642+2389</f>
        <v>4031</v>
      </c>
      <c r="AM12" s="2">
        <f>1443+2180</f>
        <v>3623</v>
      </c>
      <c r="AN12" s="2">
        <f>(1436+2076)-31</f>
        <v>3481</v>
      </c>
      <c r="AO12" s="2">
        <f>(1429+2025)-(11+24)</f>
        <v>3419</v>
      </c>
      <c r="AP12" s="2">
        <f>2979-26</f>
        <v>2953</v>
      </c>
      <c r="AQ12" s="2">
        <f>1166+1855</f>
        <v>3021</v>
      </c>
      <c r="AR12" s="60">
        <f>3214-31</f>
        <v>3183</v>
      </c>
      <c r="AS12" s="60">
        <f>3347-29</f>
        <v>3318</v>
      </c>
      <c r="AT12" s="60">
        <v>3321</v>
      </c>
      <c r="AU12" s="60">
        <f>3332-21-9</f>
        <v>3302</v>
      </c>
      <c r="AV12" s="2">
        <v>3092</v>
      </c>
      <c r="AW12" s="2">
        <f>3128-16-9</f>
        <v>3103</v>
      </c>
      <c r="AX12" s="2">
        <v>3275</v>
      </c>
      <c r="AY12" s="2">
        <v>3180</v>
      </c>
      <c r="AZ12" s="58">
        <v>1139</v>
      </c>
      <c r="BA12" s="61">
        <v>1158</v>
      </c>
      <c r="BB12" s="58">
        <v>3156</v>
      </c>
      <c r="BC12" s="61">
        <v>1154</v>
      </c>
      <c r="BD12" s="61">
        <v>1272</v>
      </c>
      <c r="BE12" s="58">
        <f>pivot!C7</f>
        <v>1242</v>
      </c>
    </row>
    <row r="13" spans="1:234" ht="12.75" customHeight="1">
      <c r="A13" s="52" t="str">
        <f>pivot!A8</f>
        <v>MO S&amp;T</v>
      </c>
      <c r="B13" s="53">
        <v>1.7321016166281754E-2</v>
      </c>
      <c r="C13" s="54">
        <v>1.5679124886052873E-2</v>
      </c>
      <c r="D13" s="54">
        <v>1.8388318009734991E-2</v>
      </c>
      <c r="E13" s="55">
        <v>2.5305255706954521E-2</v>
      </c>
      <c r="F13" s="54">
        <v>2.2126188418323249E-2</v>
      </c>
      <c r="G13" s="54">
        <v>2.0172910662824207E-2</v>
      </c>
      <c r="H13" s="54">
        <f t="shared" si="0"/>
        <v>2.1791767554479417E-2</v>
      </c>
      <c r="I13" s="56">
        <f t="shared" si="1"/>
        <v>2.2181146025878003E-2</v>
      </c>
      <c r="J13" s="56">
        <f t="shared" si="2"/>
        <v>2.3782343987823439E-2</v>
      </c>
      <c r="K13" s="56">
        <f t="shared" si="3"/>
        <v>2.6493696327425542E-2</v>
      </c>
      <c r="L13" s="56">
        <v>3.1537213912416651E-2</v>
      </c>
      <c r="M13" s="56">
        <v>3.0736240171551108E-2</v>
      </c>
      <c r="N13" s="56">
        <v>3.5904255319148939E-2</v>
      </c>
      <c r="O13" s="56">
        <v>3.6134011576916328E-2</v>
      </c>
      <c r="P13" s="56">
        <f>pivot!B8</f>
        <v>4.3719639139486469E-2</v>
      </c>
      <c r="Q13" s="57">
        <v>75</v>
      </c>
      <c r="R13" s="58">
        <f>55+31</f>
        <v>86</v>
      </c>
      <c r="S13" s="58">
        <f>66+36</f>
        <v>102</v>
      </c>
      <c r="T13" s="59">
        <f>92+51</f>
        <v>143</v>
      </c>
      <c r="U13" s="58">
        <v>128</v>
      </c>
      <c r="V13" s="58">
        <f>72+47</f>
        <v>119</v>
      </c>
      <c r="W13" s="58">
        <f>50+76</f>
        <v>126</v>
      </c>
      <c r="X13" s="58">
        <f>67+53</f>
        <v>120</v>
      </c>
      <c r="Y13" s="58">
        <f>71+54</f>
        <v>125</v>
      </c>
      <c r="Z13" s="58">
        <f>82+63</f>
        <v>145</v>
      </c>
      <c r="AA13" s="2">
        <v>4330</v>
      </c>
      <c r="AB13" s="2">
        <v>4478</v>
      </c>
      <c r="AC13" s="2">
        <v>4354</v>
      </c>
      <c r="AD13" s="2">
        <v>4323</v>
      </c>
      <c r="AE13" s="2">
        <v>4529</v>
      </c>
      <c r="AF13" s="2">
        <v>4610</v>
      </c>
      <c r="AG13" s="2">
        <v>4926</v>
      </c>
      <c r="AH13" s="2">
        <v>5404</v>
      </c>
      <c r="AI13" s="2">
        <v>5901</v>
      </c>
      <c r="AJ13" s="2">
        <f>2565+3451</f>
        <v>6016</v>
      </c>
      <c r="AK13" s="2">
        <f>2576+3435</f>
        <v>6011</v>
      </c>
      <c r="AL13" s="2">
        <f>2550+3339</f>
        <v>5889</v>
      </c>
      <c r="AM13" s="2">
        <f>2461+3205</f>
        <v>5666</v>
      </c>
      <c r="AN13" s="2">
        <f>2362+2972</f>
        <v>5334</v>
      </c>
      <c r="AO13" s="2">
        <f>2441+3020</f>
        <v>5461</v>
      </c>
      <c r="AP13" s="2">
        <f>2314+2944</f>
        <v>5258</v>
      </c>
      <c r="AQ13" s="2">
        <f>2394+3091</f>
        <v>5485</v>
      </c>
      <c r="AR13" s="60">
        <f>2323+3224</f>
        <v>5547</v>
      </c>
      <c r="AS13" s="60">
        <f>2449+3202</f>
        <v>5651</v>
      </c>
      <c r="AT13" s="60">
        <v>5785</v>
      </c>
      <c r="AU13" s="60">
        <v>5899</v>
      </c>
      <c r="AV13" s="2">
        <v>5782</v>
      </c>
      <c r="AW13" s="2">
        <v>5410</v>
      </c>
      <c r="AX13" s="2">
        <v>5256</v>
      </c>
      <c r="AY13" s="2">
        <v>5473</v>
      </c>
      <c r="AZ13" s="58">
        <v>175</v>
      </c>
      <c r="BA13" s="61">
        <v>172</v>
      </c>
      <c r="BB13" s="58">
        <v>5596</v>
      </c>
      <c r="BC13" s="61">
        <v>189</v>
      </c>
      <c r="BD13" s="61">
        <v>206</v>
      </c>
      <c r="BE13" s="58">
        <f>pivot!C8</f>
        <v>315</v>
      </c>
    </row>
    <row r="14" spans="1:234" ht="12.75" customHeight="1">
      <c r="A14" s="52" t="str">
        <f>pivot!A9</f>
        <v>MO STATE</v>
      </c>
      <c r="B14" s="53">
        <v>7.0113935144609993E-3</v>
      </c>
      <c r="C14" s="54">
        <v>2.2374571517606731E-2</v>
      </c>
      <c r="D14" s="54">
        <v>2.0571077678845563E-2</v>
      </c>
      <c r="E14" s="55">
        <v>2.118522759805325E-2</v>
      </c>
      <c r="F14" s="54">
        <v>2.3218997361477572E-2</v>
      </c>
      <c r="G14" s="54">
        <v>2.3063781321184511E-2</v>
      </c>
      <c r="H14" s="54">
        <f t="shared" si="0"/>
        <v>2.0995832888129073E-2</v>
      </c>
      <c r="I14" s="56">
        <f t="shared" si="1"/>
        <v>4.0548658390068083E-2</v>
      </c>
      <c r="J14" s="56">
        <f t="shared" si="2"/>
        <v>2.27581877158104E-2</v>
      </c>
      <c r="K14" s="56">
        <f t="shared" si="3"/>
        <v>2.1766694843617922E-2</v>
      </c>
      <c r="L14" s="56">
        <v>2.3675720678530545E-2</v>
      </c>
      <c r="M14" s="56">
        <v>2.5842464337399215E-2</v>
      </c>
      <c r="N14" s="56">
        <v>2.7707937811072912E-2</v>
      </c>
      <c r="O14" s="56">
        <v>3.0189975946198027E-2</v>
      </c>
      <c r="P14" s="56">
        <f>pivot!B9</f>
        <v>2.9699101211410707E-2</v>
      </c>
      <c r="Q14" s="57">
        <v>104</v>
      </c>
      <c r="R14" s="58">
        <f>164+195</f>
        <v>359</v>
      </c>
      <c r="S14" s="58">
        <f>150+185</f>
        <v>335</v>
      </c>
      <c r="T14" s="59">
        <f>185+185</f>
        <v>370</v>
      </c>
      <c r="U14" s="58">
        <v>396</v>
      </c>
      <c r="V14" s="58">
        <f>209+196</f>
        <v>405</v>
      </c>
      <c r="W14" s="58">
        <f>195+198</f>
        <v>393</v>
      </c>
      <c r="X14" s="58">
        <f>204+201</f>
        <v>405</v>
      </c>
      <c r="Y14" s="58">
        <f>208+227</f>
        <v>435</v>
      </c>
      <c r="Z14" s="58">
        <f>187+225</f>
        <v>412</v>
      </c>
      <c r="AA14" s="2">
        <v>14833</v>
      </c>
      <c r="AB14" s="2">
        <v>14473</v>
      </c>
      <c r="AC14" s="2">
        <v>14573</v>
      </c>
      <c r="AD14" s="2">
        <v>14552</v>
      </c>
      <c r="AE14" s="2">
        <v>14903</v>
      </c>
      <c r="AF14" s="2">
        <v>15233</v>
      </c>
      <c r="AG14" s="2">
        <v>16085</v>
      </c>
      <c r="AH14" s="2">
        <v>17006</v>
      </c>
      <c r="AI14" s="2">
        <v>18427</v>
      </c>
      <c r="AJ14" s="2">
        <f>8857+10623</f>
        <v>19480</v>
      </c>
      <c r="AK14" s="2">
        <f>8889+10615</f>
        <v>19504</v>
      </c>
      <c r="AL14" s="2">
        <f>8685+10317</f>
        <v>19002</v>
      </c>
      <c r="AM14" s="2">
        <f>8266+9894</f>
        <v>18160</v>
      </c>
      <c r="AN14" s="2">
        <f>(7851+9459)-(192+265)</f>
        <v>16853</v>
      </c>
      <c r="AO14" s="2">
        <f>(7268+9171)-(176+255)</f>
        <v>16008</v>
      </c>
      <c r="AP14" s="2">
        <f>(7107+9257)-(185+267)</f>
        <v>15912</v>
      </c>
      <c r="AQ14" s="2">
        <f>(7156+9312)-(174+249)</f>
        <v>16045</v>
      </c>
      <c r="AR14" s="60">
        <f>16794-233-276</f>
        <v>16285</v>
      </c>
      <c r="AS14" s="60">
        <f>17388-265+342</f>
        <v>17465</v>
      </c>
      <c r="AT14" s="60">
        <v>17055</v>
      </c>
      <c r="AU14" s="60">
        <f>18252-381-311</f>
        <v>17560</v>
      </c>
      <c r="AV14" s="2">
        <v>18718</v>
      </c>
      <c r="AW14" s="2">
        <f>10851-482-381</f>
        <v>9988</v>
      </c>
      <c r="AX14" s="2">
        <v>19114</v>
      </c>
      <c r="AY14" s="2">
        <v>18928</v>
      </c>
      <c r="AZ14" s="58">
        <v>455</v>
      </c>
      <c r="BA14" s="61">
        <v>500</v>
      </c>
      <c r="BB14" s="58">
        <v>19348</v>
      </c>
      <c r="BC14" s="61">
        <v>540</v>
      </c>
      <c r="BD14" s="61">
        <v>615</v>
      </c>
      <c r="BE14" s="58">
        <f>pivot!C9</f>
        <v>608</v>
      </c>
    </row>
    <row r="15" spans="1:234" ht="12.75" customHeight="1">
      <c r="A15" s="52" t="str">
        <f>pivot!A10</f>
        <v>MSSU</v>
      </c>
      <c r="B15" s="53">
        <v>3.122106098690303E-2</v>
      </c>
      <c r="C15" s="54">
        <v>3.0233527939949958E-2</v>
      </c>
      <c r="D15" s="54">
        <v>3.2503165892781766E-2</v>
      </c>
      <c r="E15" s="55">
        <v>3.7395512538495379E-2</v>
      </c>
      <c r="F15" s="54">
        <v>3.7710437710437708E-2</v>
      </c>
      <c r="G15" s="54">
        <v>4.187925170068027E-2</v>
      </c>
      <c r="H15" s="54">
        <f>+W15/AV15</f>
        <v>4.0648854961832064E-2</v>
      </c>
      <c r="I15" s="56">
        <f>+X15/AW15</f>
        <v>4.4179792547061086E-2</v>
      </c>
      <c r="J15" s="56">
        <f>+Y15/AX15</f>
        <v>4.0340488527017021E-2</v>
      </c>
      <c r="K15" s="56">
        <f>+Z15/AY15</f>
        <v>4.2321428571428572E-2</v>
      </c>
      <c r="L15" s="56">
        <v>4.1823147832024579E-2</v>
      </c>
      <c r="M15" s="56">
        <v>4.3972091513873116E-2</v>
      </c>
      <c r="N15" s="56">
        <v>4.6960892099890059E-2</v>
      </c>
      <c r="O15" s="56">
        <v>5.1511593777516879E-2</v>
      </c>
      <c r="P15" s="56">
        <f>pivot!B10</f>
        <v>3.8435022406066874E-2</v>
      </c>
      <c r="Q15" s="57">
        <v>236</v>
      </c>
      <c r="R15" s="62">
        <f>97+48</f>
        <v>145</v>
      </c>
      <c r="S15" s="62">
        <f>104+50</f>
        <v>154</v>
      </c>
      <c r="T15" s="63">
        <f>120+50</f>
        <v>170</v>
      </c>
      <c r="U15" s="62">
        <v>168</v>
      </c>
      <c r="V15" s="62">
        <f>55+142</f>
        <v>197</v>
      </c>
      <c r="W15" s="62">
        <f>152+61</f>
        <v>213</v>
      </c>
      <c r="X15" s="62">
        <f>165+65</f>
        <v>230</v>
      </c>
      <c r="Y15" s="62">
        <f>158+60</f>
        <v>218</v>
      </c>
      <c r="Z15" s="62">
        <f>173+64</f>
        <v>237</v>
      </c>
      <c r="AA15" s="52">
        <v>7559</v>
      </c>
      <c r="AB15" s="52">
        <v>7795</v>
      </c>
      <c r="AC15" s="52">
        <v>7566</v>
      </c>
      <c r="AD15" s="52">
        <v>6967</v>
      </c>
      <c r="AE15" s="52">
        <v>6444</v>
      </c>
      <c r="AF15" s="52">
        <v>6318</v>
      </c>
      <c r="AG15" s="52">
        <v>5916</v>
      </c>
      <c r="AH15" s="52">
        <v>5724</v>
      </c>
      <c r="AI15" s="52">
        <v>5576</v>
      </c>
      <c r="AJ15" s="52">
        <f>4263+1180</f>
        <v>5443</v>
      </c>
      <c r="AK15" s="52">
        <f>4390+1192</f>
        <v>5582</v>
      </c>
      <c r="AL15" s="52">
        <f>4424+1233</f>
        <v>5657</v>
      </c>
      <c r="AM15" s="52">
        <f>4404+1277</f>
        <v>5681</v>
      </c>
      <c r="AN15" s="52">
        <f>(4227+1245)-(182+55)</f>
        <v>5235</v>
      </c>
      <c r="AO15" s="52">
        <f>5426-263</f>
        <v>5163</v>
      </c>
      <c r="AP15" s="52">
        <f>(4032+1232)-(163+51)</f>
        <v>5050</v>
      </c>
      <c r="AQ15" s="52">
        <f>(3791+1185)-(144+36)</f>
        <v>4796</v>
      </c>
      <c r="AR15" s="1">
        <f>4918-148-32</f>
        <v>4738</v>
      </c>
      <c r="AS15" s="1">
        <f>4715-136-33</f>
        <v>4546</v>
      </c>
      <c r="AT15" s="1">
        <v>4455</v>
      </c>
      <c r="AU15" s="1">
        <f>4883-40-139</f>
        <v>4704</v>
      </c>
      <c r="AV15" s="52">
        <v>5240</v>
      </c>
      <c r="AW15" s="52">
        <f>5459-72-181</f>
        <v>5206</v>
      </c>
      <c r="AX15" s="52">
        <v>5404</v>
      </c>
      <c r="AY15" s="52">
        <v>5600</v>
      </c>
      <c r="AZ15" s="62">
        <v>245</v>
      </c>
      <c r="BA15" s="61">
        <v>271</v>
      </c>
      <c r="BB15" s="62">
        <v>6163</v>
      </c>
      <c r="BC15" s="61">
        <v>299</v>
      </c>
      <c r="BD15" s="61">
        <v>351</v>
      </c>
      <c r="BE15" s="58">
        <f>pivot!C10</f>
        <v>223</v>
      </c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2"/>
      <c r="DD15" s="52"/>
      <c r="DE15" s="52"/>
      <c r="DF15" s="52"/>
      <c r="DG15" s="52"/>
      <c r="DH15" s="52"/>
      <c r="DI15" s="52"/>
      <c r="DJ15" s="52"/>
      <c r="DK15" s="52"/>
      <c r="DL15" s="52"/>
      <c r="DM15" s="52"/>
      <c r="DN15" s="52"/>
      <c r="DO15" s="52"/>
      <c r="DP15" s="52"/>
      <c r="DQ15" s="52"/>
      <c r="DR15" s="52"/>
      <c r="DS15" s="52"/>
      <c r="DT15" s="52"/>
      <c r="DU15" s="52"/>
      <c r="DV15" s="52"/>
      <c r="DW15" s="52"/>
      <c r="DX15" s="52"/>
      <c r="DY15" s="52"/>
      <c r="DZ15" s="52"/>
      <c r="EA15" s="52"/>
      <c r="EB15" s="52"/>
      <c r="EC15" s="52"/>
      <c r="ED15" s="52"/>
      <c r="EE15" s="52"/>
      <c r="EF15" s="52"/>
      <c r="EG15" s="52"/>
      <c r="EH15" s="52"/>
      <c r="EI15" s="52"/>
      <c r="EJ15" s="52"/>
      <c r="EK15" s="52"/>
      <c r="EL15" s="52"/>
      <c r="EM15" s="52"/>
      <c r="EN15" s="52"/>
      <c r="EO15" s="52"/>
      <c r="EP15" s="52"/>
      <c r="EQ15" s="52"/>
      <c r="ER15" s="52"/>
      <c r="ES15" s="52"/>
      <c r="ET15" s="52"/>
      <c r="EU15" s="52"/>
      <c r="EV15" s="52"/>
      <c r="EW15" s="52"/>
      <c r="EX15" s="52"/>
      <c r="EY15" s="52"/>
      <c r="EZ15" s="52"/>
      <c r="FA15" s="52"/>
      <c r="FB15" s="52"/>
      <c r="FC15" s="52"/>
      <c r="FD15" s="52"/>
      <c r="FE15" s="52"/>
      <c r="FF15" s="52"/>
      <c r="FG15" s="52"/>
      <c r="FH15" s="52"/>
      <c r="FI15" s="52"/>
      <c r="FJ15" s="52"/>
      <c r="FK15" s="52"/>
      <c r="FL15" s="52"/>
      <c r="FM15" s="52"/>
      <c r="FN15" s="52"/>
      <c r="FO15" s="52"/>
      <c r="FP15" s="52"/>
      <c r="FQ15" s="52"/>
      <c r="FR15" s="52"/>
      <c r="FS15" s="52"/>
      <c r="FT15" s="52"/>
      <c r="FU15" s="52"/>
      <c r="FV15" s="52"/>
      <c r="FW15" s="52"/>
      <c r="FX15" s="52"/>
      <c r="FY15" s="52"/>
      <c r="FZ15" s="52"/>
      <c r="GA15" s="52"/>
      <c r="GB15" s="52"/>
      <c r="GC15" s="52"/>
      <c r="GD15" s="52"/>
      <c r="GE15" s="52"/>
      <c r="GF15" s="52"/>
      <c r="GG15" s="52"/>
      <c r="GH15" s="52"/>
      <c r="GI15" s="52"/>
      <c r="GJ15" s="52"/>
      <c r="GK15" s="52"/>
      <c r="GL15" s="52"/>
      <c r="GM15" s="52"/>
      <c r="GN15" s="52"/>
      <c r="GO15" s="52"/>
      <c r="GP15" s="52"/>
      <c r="GQ15" s="52"/>
      <c r="GR15" s="52"/>
      <c r="GS15" s="52"/>
      <c r="GT15" s="52"/>
      <c r="GU15" s="52"/>
      <c r="GV15" s="52"/>
      <c r="GW15" s="52"/>
      <c r="GX15" s="52"/>
      <c r="GY15" s="52"/>
      <c r="GZ15" s="52"/>
      <c r="HA15" s="52"/>
      <c r="HB15" s="52"/>
      <c r="HC15" s="52"/>
      <c r="HD15" s="52"/>
      <c r="HE15" s="52"/>
      <c r="HF15" s="52"/>
      <c r="HG15" s="52"/>
      <c r="HH15" s="52"/>
      <c r="HI15" s="52"/>
      <c r="HJ15" s="52"/>
      <c r="HK15" s="52"/>
      <c r="HL15" s="52"/>
      <c r="HM15" s="52"/>
      <c r="HN15" s="52"/>
      <c r="HO15" s="52"/>
      <c r="HP15" s="52"/>
      <c r="HQ15" s="52"/>
      <c r="HR15" s="52"/>
      <c r="HS15" s="52"/>
      <c r="HT15" s="52"/>
      <c r="HU15" s="52"/>
      <c r="HV15" s="52"/>
      <c r="HW15" s="52"/>
      <c r="HX15" s="52"/>
      <c r="HY15" s="52"/>
      <c r="HZ15" s="4"/>
    </row>
    <row r="16" spans="1:234" ht="12.75" customHeight="1">
      <c r="A16" s="52" t="str">
        <f>pivot!A11</f>
        <v>MWSU</v>
      </c>
      <c r="B16" s="53">
        <v>3.310636299600845E-2</v>
      </c>
      <c r="C16" s="54">
        <v>6.811085089773615E-2</v>
      </c>
      <c r="D16" s="54">
        <v>7.5260517174835964E-2</v>
      </c>
      <c r="E16" s="55">
        <v>8.4157455885204582E-2</v>
      </c>
      <c r="F16" s="54">
        <v>8.626449204165848E-2</v>
      </c>
      <c r="G16" s="54">
        <v>9.0160721285770282E-2</v>
      </c>
      <c r="H16" s="54">
        <f t="shared" si="0"/>
        <v>0.10409851837598615</v>
      </c>
      <c r="I16" s="56">
        <f t="shared" si="1"/>
        <v>0.10836038961038962</v>
      </c>
      <c r="J16" s="56">
        <f t="shared" si="2"/>
        <v>0.10661401776900296</v>
      </c>
      <c r="K16" s="56">
        <f t="shared" si="3"/>
        <v>0.11051829268292683</v>
      </c>
      <c r="L16" s="56">
        <v>9.5147839272175891E-2</v>
      </c>
      <c r="M16" s="56">
        <v>0.10894795956570573</v>
      </c>
      <c r="N16" s="56">
        <v>9.9128540305010893E-2</v>
      </c>
      <c r="O16" s="56">
        <v>9.8369279326670167E-2</v>
      </c>
      <c r="P16" s="56">
        <f>pivot!B11</f>
        <v>9.1386382280557829E-2</v>
      </c>
      <c r="Q16" s="57">
        <v>141</v>
      </c>
      <c r="R16" s="58">
        <f>167+182</f>
        <v>349</v>
      </c>
      <c r="S16" s="58">
        <f>175+215</f>
        <v>390</v>
      </c>
      <c r="T16" s="59">
        <f>189+245</f>
        <v>434</v>
      </c>
      <c r="U16" s="58">
        <v>439</v>
      </c>
      <c r="V16" s="58">
        <f>208+252</f>
        <v>460</v>
      </c>
      <c r="W16" s="58">
        <f>237+304</f>
        <v>541</v>
      </c>
      <c r="X16" s="58">
        <f>266+268</f>
        <v>534</v>
      </c>
      <c r="Y16" s="58">
        <f>272+268</f>
        <v>540</v>
      </c>
      <c r="Z16" s="58">
        <f>293+287</f>
        <v>580</v>
      </c>
      <c r="AA16" s="2">
        <v>4259</v>
      </c>
      <c r="AB16" s="2">
        <v>4269</v>
      </c>
      <c r="AC16" s="2">
        <v>4227</v>
      </c>
      <c r="AD16" s="2">
        <v>4069</v>
      </c>
      <c r="AE16" s="2">
        <v>3992</v>
      </c>
      <c r="AF16" s="2">
        <v>3867</v>
      </c>
      <c r="AG16" s="2">
        <v>3904</v>
      </c>
      <c r="AH16" s="2">
        <v>4083</v>
      </c>
      <c r="AI16" s="2">
        <v>4255</v>
      </c>
      <c r="AJ16" s="2">
        <f>1811+2744</f>
        <v>4555</v>
      </c>
      <c r="AK16" s="2">
        <f>1900+2936</f>
        <v>4836</v>
      </c>
      <c r="AL16" s="2">
        <f>1979+3056</f>
        <v>5035</v>
      </c>
      <c r="AM16" s="2">
        <f>2003+3058</f>
        <v>5061</v>
      </c>
      <c r="AN16" s="2">
        <f>1984+3091</f>
        <v>5075</v>
      </c>
      <c r="AO16" s="2">
        <f>1986+3146</f>
        <v>5132</v>
      </c>
      <c r="AP16" s="2">
        <f>1937+3128</f>
        <v>5065</v>
      </c>
      <c r="AQ16" s="2">
        <f>1942+3182</f>
        <v>5124</v>
      </c>
      <c r="AR16" s="60">
        <f>2029+3153</f>
        <v>5182</v>
      </c>
      <c r="AS16" s="60">
        <f>2012+3145</f>
        <v>5157</v>
      </c>
      <c r="AT16" s="60">
        <v>5089</v>
      </c>
      <c r="AU16" s="60">
        <v>5102</v>
      </c>
      <c r="AV16" s="2">
        <v>5197</v>
      </c>
      <c r="AW16" s="2">
        <v>4928</v>
      </c>
      <c r="AX16" s="2">
        <v>5065</v>
      </c>
      <c r="AY16" s="2">
        <v>5248</v>
      </c>
      <c r="AZ16" s="58">
        <v>502</v>
      </c>
      <c r="BA16" s="61">
        <v>582</v>
      </c>
      <c r="BB16" s="58">
        <v>5342</v>
      </c>
      <c r="BC16" s="61">
        <v>546</v>
      </c>
      <c r="BD16" s="61">
        <v>561</v>
      </c>
      <c r="BE16" s="58">
        <f>pivot!C11</f>
        <v>557</v>
      </c>
    </row>
    <row r="17" spans="1:57" ht="12.75" customHeight="1">
      <c r="A17" s="52" t="str">
        <f>pivot!A12</f>
        <v>NWMSU</v>
      </c>
      <c r="B17" s="53">
        <v>1.6400000000000001E-2</v>
      </c>
      <c r="C17" s="54">
        <v>2.0859872611464967E-2</v>
      </c>
      <c r="D17" s="54">
        <v>1.9224658404829998E-2</v>
      </c>
      <c r="E17" s="55">
        <v>2.181987000928505E-2</v>
      </c>
      <c r="F17" s="54">
        <v>2.2508537721204595E-2</v>
      </c>
      <c r="G17" s="54">
        <v>2.2490566037735849E-2</v>
      </c>
      <c r="H17" s="54">
        <f t="shared" si="0"/>
        <v>2.3487872275099787E-2</v>
      </c>
      <c r="I17" s="56">
        <f t="shared" si="1"/>
        <v>2.2208700943109217E-2</v>
      </c>
      <c r="J17" s="56">
        <f t="shared" si="2"/>
        <v>2.359550561797753E-2</v>
      </c>
      <c r="K17" s="56">
        <f t="shared" si="3"/>
        <v>3.4608091024020231E-2</v>
      </c>
      <c r="L17" s="56">
        <v>3.9730855495033642E-2</v>
      </c>
      <c r="M17" s="56">
        <v>3.8624019312009657E-2</v>
      </c>
      <c r="N17" s="56">
        <v>4.4264991775085985E-2</v>
      </c>
      <c r="O17" s="56">
        <v>4.7060486150367439E-2</v>
      </c>
      <c r="P17" s="56">
        <f>pivot!B12</f>
        <v>4.9285914309717169E-2</v>
      </c>
      <c r="Q17" s="57">
        <v>82</v>
      </c>
      <c r="R17" s="58">
        <f>83+48</f>
        <v>131</v>
      </c>
      <c r="S17" s="58">
        <f>66+55</f>
        <v>121</v>
      </c>
      <c r="T17" s="59">
        <f>88+53</f>
        <v>141</v>
      </c>
      <c r="U17" s="58">
        <v>145</v>
      </c>
      <c r="V17" s="58">
        <f>82+67</f>
        <v>149</v>
      </c>
      <c r="W17" s="58">
        <f>73+80</f>
        <v>153</v>
      </c>
      <c r="X17" s="58">
        <f>70+76</f>
        <v>146</v>
      </c>
      <c r="Y17" s="58">
        <f>75+72</f>
        <v>147</v>
      </c>
      <c r="Z17" s="58">
        <f>109+110</f>
        <v>219</v>
      </c>
      <c r="AA17" s="2">
        <v>5000</v>
      </c>
      <c r="AB17" s="2">
        <v>5103</v>
      </c>
      <c r="AC17" s="2">
        <v>5194</v>
      </c>
      <c r="AD17" s="2">
        <v>4974</v>
      </c>
      <c r="AE17" s="2">
        <v>4999</v>
      </c>
      <c r="AF17" s="2">
        <v>4876</v>
      </c>
      <c r="AG17" s="2">
        <v>5075</v>
      </c>
      <c r="AH17" s="2">
        <v>5307</v>
      </c>
      <c r="AI17" s="2">
        <v>5896</v>
      </c>
      <c r="AJ17" s="2">
        <f>2628+3465</f>
        <v>6093</v>
      </c>
      <c r="AK17" s="2">
        <f>2658+3363</f>
        <v>6021</v>
      </c>
      <c r="AL17" s="2">
        <f>2580+3283</f>
        <v>5863</v>
      </c>
      <c r="AM17" s="2">
        <v>5802</v>
      </c>
      <c r="AN17" s="2">
        <f>3435+2566</f>
        <v>6001</v>
      </c>
      <c r="AO17" s="2">
        <f>2581+3554</f>
        <v>6135</v>
      </c>
      <c r="AP17" s="2">
        <f>2548+3611</f>
        <v>6159</v>
      </c>
      <c r="AQ17" s="2">
        <f>2636+3644</f>
        <v>6280</v>
      </c>
      <c r="AR17" s="60">
        <f>2567+3727</f>
        <v>6294</v>
      </c>
      <c r="AS17" s="60">
        <f>2598+3864</f>
        <v>6462</v>
      </c>
      <c r="AT17" s="60">
        <v>6442</v>
      </c>
      <c r="AU17" s="60">
        <v>6625</v>
      </c>
      <c r="AV17" s="2">
        <v>6514</v>
      </c>
      <c r="AW17" s="2">
        <v>6574</v>
      </c>
      <c r="AX17" s="2">
        <v>6230</v>
      </c>
      <c r="AY17" s="2">
        <v>6328</v>
      </c>
      <c r="AZ17" s="58">
        <v>248</v>
      </c>
      <c r="BA17" s="61">
        <v>256</v>
      </c>
      <c r="BB17" s="58">
        <v>6628</v>
      </c>
      <c r="BC17" s="61">
        <v>296</v>
      </c>
      <c r="BD17" s="61">
        <v>333</v>
      </c>
      <c r="BE17" s="58">
        <f>pivot!C12</f>
        <v>352</v>
      </c>
    </row>
    <row r="18" spans="1:57" ht="12.75" customHeight="1">
      <c r="A18" s="52" t="str">
        <f>pivot!A13</f>
        <v>SEMO</v>
      </c>
      <c r="B18" s="53">
        <v>4.1634710200504001E-2</v>
      </c>
      <c r="C18" s="54">
        <v>3.9849350018223789E-2</v>
      </c>
      <c r="D18" s="54">
        <v>4.7602215152586308E-2</v>
      </c>
      <c r="E18" s="55">
        <v>4.7162360374590998E-2</v>
      </c>
      <c r="F18" s="54">
        <v>5.3196244970943225E-2</v>
      </c>
      <c r="G18" s="54">
        <v>5.3059477963200687E-2</v>
      </c>
      <c r="H18" s="54">
        <f t="shared" si="0"/>
        <v>5.9267806566663167E-2</v>
      </c>
      <c r="I18" s="56">
        <f t="shared" si="1"/>
        <v>6.4785788923719959E-2</v>
      </c>
      <c r="J18" s="56">
        <f t="shared" si="2"/>
        <v>7.0930837233489336E-2</v>
      </c>
      <c r="K18" s="56">
        <f t="shared" si="3"/>
        <v>8.4856143079315702E-2</v>
      </c>
      <c r="L18" s="56">
        <v>7.8917160895351057E-2</v>
      </c>
      <c r="M18" s="56">
        <v>7.8566051938276246E-2</v>
      </c>
      <c r="N18" s="56">
        <v>7.2280178837555886E-2</v>
      </c>
      <c r="O18" s="56">
        <v>7.4159800018516797E-2</v>
      </c>
      <c r="P18" s="56">
        <f>pivot!B13</f>
        <v>7.8854346052750837E-2</v>
      </c>
      <c r="Q18" s="57">
        <v>380</v>
      </c>
      <c r="R18" s="58">
        <f>128+200</f>
        <v>328</v>
      </c>
      <c r="S18" s="58">
        <f>161+243</f>
        <v>404</v>
      </c>
      <c r="T18" s="59">
        <f>150+268</f>
        <v>418</v>
      </c>
      <c r="U18" s="58">
        <v>476</v>
      </c>
      <c r="V18" s="58">
        <f>185+311</f>
        <v>496</v>
      </c>
      <c r="W18" s="58">
        <f>206+359</f>
        <v>565</v>
      </c>
      <c r="X18" s="58">
        <f>249+371</f>
        <v>620</v>
      </c>
      <c r="Y18" s="58">
        <f>260+422</f>
        <v>682</v>
      </c>
      <c r="Z18" s="58">
        <f>324+549</f>
        <v>873</v>
      </c>
      <c r="AA18" s="2">
        <v>9127</v>
      </c>
      <c r="AB18" s="2">
        <v>9097</v>
      </c>
      <c r="AC18" s="2">
        <v>9093</v>
      </c>
      <c r="AD18" s="2">
        <v>9189</v>
      </c>
      <c r="AE18" s="2">
        <v>9058</v>
      </c>
      <c r="AF18" s="2">
        <v>9144</v>
      </c>
      <c r="AG18" s="2">
        <v>8496</v>
      </c>
      <c r="AH18" s="2">
        <v>8778</v>
      </c>
      <c r="AI18" s="2">
        <v>8520</v>
      </c>
      <c r="AJ18" s="2">
        <f>3644+5157</f>
        <v>8801</v>
      </c>
      <c r="AK18" s="2">
        <f>3681+5023</f>
        <v>8704</v>
      </c>
      <c r="AL18" s="2">
        <f>3628+4810</f>
        <v>8438</v>
      </c>
      <c r="AM18" s="2">
        <f>3369+4711</f>
        <v>8080</v>
      </c>
      <c r="AN18" s="2">
        <f>4708+3213</f>
        <v>7921</v>
      </c>
      <c r="AO18" s="2">
        <f>3273+4839</f>
        <v>8112</v>
      </c>
      <c r="AP18" s="2">
        <f>3270+4947</f>
        <v>8217</v>
      </c>
      <c r="AQ18" s="2">
        <f>3202+5029</f>
        <v>8231</v>
      </c>
      <c r="AR18" s="60">
        <f>3262+5225</f>
        <v>8487</v>
      </c>
      <c r="AS18" s="60">
        <f>3355+5508</f>
        <v>8863</v>
      </c>
      <c r="AT18" s="60">
        <v>8948</v>
      </c>
      <c r="AU18" s="60">
        <v>9348</v>
      </c>
      <c r="AV18" s="2">
        <v>9533</v>
      </c>
      <c r="AW18" s="2">
        <v>9570</v>
      </c>
      <c r="AX18" s="2">
        <v>9615</v>
      </c>
      <c r="AY18" s="2">
        <v>10288</v>
      </c>
      <c r="AZ18" s="58">
        <v>825</v>
      </c>
      <c r="BA18" s="61">
        <v>835</v>
      </c>
      <c r="BB18" s="58">
        <v>10628</v>
      </c>
      <c r="BC18" s="61">
        <v>776</v>
      </c>
      <c r="BD18" s="61">
        <v>801</v>
      </c>
      <c r="BE18" s="58">
        <f>pivot!C13</f>
        <v>870</v>
      </c>
    </row>
    <row r="19" spans="1:57" ht="12.75" customHeight="1">
      <c r="A19" s="52" t="str">
        <f>pivot!A14</f>
        <v>TRUMAN</v>
      </c>
      <c r="B19" s="53">
        <v>3.5826884494124391E-2</v>
      </c>
      <c r="C19" s="54">
        <v>3.648575058994373E-2</v>
      </c>
      <c r="D19" s="54">
        <v>3.2861387869253626E-2</v>
      </c>
      <c r="E19" s="55">
        <v>3.2709463005072589E-2</v>
      </c>
      <c r="F19" s="54">
        <v>3.5351767588379421E-2</v>
      </c>
      <c r="G19" s="54">
        <v>3.3886462882096069E-2</v>
      </c>
      <c r="H19" s="54">
        <f t="shared" si="0"/>
        <v>3.4667559872718134E-2</v>
      </c>
      <c r="I19" s="56">
        <f t="shared" si="1"/>
        <v>3.7695590327169272E-2</v>
      </c>
      <c r="J19" s="56">
        <f t="shared" si="2"/>
        <v>3.4129119031607265E-2</v>
      </c>
      <c r="K19" s="56">
        <f t="shared" si="3"/>
        <v>3.7238564869920082E-2</v>
      </c>
      <c r="L19" s="56">
        <v>4.2096219931271481E-2</v>
      </c>
      <c r="M19" s="56">
        <v>4.1517781180874597E-2</v>
      </c>
      <c r="N19" s="56">
        <v>4.4557823129251703E-2</v>
      </c>
      <c r="O19" s="56">
        <v>4.3072132848988066E-2</v>
      </c>
      <c r="P19" s="56">
        <f>pivot!B14</f>
        <v>4.059652029826015E-2</v>
      </c>
      <c r="Q19" s="57">
        <v>250</v>
      </c>
      <c r="R19" s="58">
        <f>74+127</f>
        <v>201</v>
      </c>
      <c r="S19" s="58">
        <f>69+119</f>
        <v>188</v>
      </c>
      <c r="T19" s="59">
        <f>77+110</f>
        <v>187</v>
      </c>
      <c r="U19" s="58">
        <v>202</v>
      </c>
      <c r="V19" s="58">
        <f>73+121</f>
        <v>194</v>
      </c>
      <c r="W19" s="58">
        <f>83+124</f>
        <v>207</v>
      </c>
      <c r="X19" s="58">
        <f>126+86</f>
        <v>212</v>
      </c>
      <c r="Y19" s="58">
        <f>81+122</f>
        <v>203</v>
      </c>
      <c r="Z19" s="58">
        <f>91+128</f>
        <v>219</v>
      </c>
      <c r="AA19" s="2">
        <v>6978</v>
      </c>
      <c r="AB19" s="2">
        <v>7205</v>
      </c>
      <c r="AC19" s="2">
        <v>7252</v>
      </c>
      <c r="AD19" s="2">
        <v>7348</v>
      </c>
      <c r="AE19" s="2">
        <v>6866</v>
      </c>
      <c r="AF19" s="2">
        <v>7105</v>
      </c>
      <c r="AG19" s="2">
        <v>6388</v>
      </c>
      <c r="AH19" s="2">
        <v>6419</v>
      </c>
      <c r="AI19" s="2">
        <v>6414</v>
      </c>
      <c r="AJ19" s="2">
        <f>2672+3479</f>
        <v>6151</v>
      </c>
      <c r="AK19" s="2">
        <f>2737+3522</f>
        <v>6259</v>
      </c>
      <c r="AL19" s="2">
        <f>2666+3583</f>
        <v>6249</v>
      </c>
      <c r="AM19" s="2">
        <f>2697+3674</f>
        <v>6371</v>
      </c>
      <c r="AN19" s="2">
        <f>2743+3706</f>
        <v>6449</v>
      </c>
      <c r="AO19" s="2">
        <f>(2772+3778)-(403+632)</f>
        <v>5515</v>
      </c>
      <c r="AP19" s="2">
        <f>(2734+3768)-(450+724)</f>
        <v>5328</v>
      </c>
      <c r="AQ19" s="2">
        <f>(2657+3764)-(370+542)</f>
        <v>5509</v>
      </c>
      <c r="AR19" s="60">
        <f>6439-303-415</f>
        <v>5721</v>
      </c>
      <c r="AS19" s="60">
        <f>6236-235-284</f>
        <v>5717</v>
      </c>
      <c r="AT19" s="60">
        <v>5714</v>
      </c>
      <c r="AU19" s="60">
        <f>6005-173-107</f>
        <v>5725</v>
      </c>
      <c r="AV19" s="2">
        <v>5971</v>
      </c>
      <c r="AW19" s="2">
        <f>5833-70-139</f>
        <v>5624</v>
      </c>
      <c r="AX19" s="2">
        <v>5948</v>
      </c>
      <c r="AY19" s="2">
        <v>5881</v>
      </c>
      <c r="AZ19" s="58">
        <v>245</v>
      </c>
      <c r="BA19" s="61">
        <v>244</v>
      </c>
      <c r="BB19" s="58">
        <v>5877</v>
      </c>
      <c r="BC19" s="61">
        <v>262</v>
      </c>
      <c r="BD19" s="61">
        <v>249</v>
      </c>
      <c r="BE19" s="58">
        <f>pivot!C14</f>
        <v>245</v>
      </c>
    </row>
    <row r="20" spans="1:57" ht="12.75" customHeight="1">
      <c r="A20" s="52" t="str">
        <f>pivot!A15</f>
        <v>UCMO</v>
      </c>
      <c r="B20" s="53">
        <v>6.5742894710225555E-2</v>
      </c>
      <c r="C20" s="54">
        <v>6.3015826779298956E-2</v>
      </c>
      <c r="D20" s="54">
        <v>5.8867431663401436E-2</v>
      </c>
      <c r="E20" s="55">
        <v>5.0213081341486013E-2</v>
      </c>
      <c r="F20" s="54">
        <v>4.6937991937032061E-2</v>
      </c>
      <c r="G20" s="54">
        <v>4.6072796934865899E-2</v>
      </c>
      <c r="H20" s="54">
        <f>+W20/AV20</f>
        <v>4.6931057888102395E-2</v>
      </c>
      <c r="I20" s="56">
        <f>+X20/AW20</f>
        <v>5.4915672562731388E-2</v>
      </c>
      <c r="J20" s="56">
        <f>+Y20/AX20</f>
        <v>5.4919908466819219E-2</v>
      </c>
      <c r="K20" s="56">
        <f>+Z20/AY20</f>
        <v>6.054319124858544E-2</v>
      </c>
      <c r="L20" s="56">
        <v>6.2272430211931656E-2</v>
      </c>
      <c r="M20" s="56">
        <v>5.4125835699239858E-2</v>
      </c>
      <c r="N20" s="56">
        <v>5.8754406580493537E-2</v>
      </c>
      <c r="O20" s="56">
        <v>6.8626574926280048E-2</v>
      </c>
      <c r="P20" s="56">
        <f>pivot!B15</f>
        <v>7.9376266408245966E-2</v>
      </c>
      <c r="Q20" s="57">
        <v>650</v>
      </c>
      <c r="R20" s="58">
        <f>280+369</f>
        <v>649</v>
      </c>
      <c r="S20" s="58">
        <f>270+361</f>
        <v>631</v>
      </c>
      <c r="T20" s="59">
        <f>242+300</f>
        <v>542</v>
      </c>
      <c r="U20" s="58">
        <v>489</v>
      </c>
      <c r="V20" s="58">
        <f>234+247</f>
        <v>481</v>
      </c>
      <c r="W20" s="58">
        <f>216+268</f>
        <v>484</v>
      </c>
      <c r="X20" s="58">
        <f>243+291</f>
        <v>534</v>
      </c>
      <c r="Y20" s="58">
        <f>234+318</f>
        <v>552</v>
      </c>
      <c r="Z20" s="58">
        <f>279+363</f>
        <v>642</v>
      </c>
      <c r="AA20" s="2">
        <v>9887</v>
      </c>
      <c r="AB20" s="2">
        <v>9526</v>
      </c>
      <c r="AC20" s="2">
        <v>9601</v>
      </c>
      <c r="AD20" s="2">
        <v>8979</v>
      </c>
      <c r="AE20" s="2">
        <v>8821</v>
      </c>
      <c r="AF20" s="2">
        <v>9032</v>
      </c>
      <c r="AG20" s="2">
        <v>9240</v>
      </c>
      <c r="AH20" s="2">
        <v>10104</v>
      </c>
      <c r="AI20" s="2">
        <v>10813</v>
      </c>
      <c r="AJ20" s="2">
        <f>5459+5970</f>
        <v>11429</v>
      </c>
      <c r="AK20" s="2">
        <f>5552+6069</f>
        <v>11621</v>
      </c>
      <c r="AL20" s="2">
        <f>5562+6069</f>
        <v>11631</v>
      </c>
      <c r="AM20" s="2">
        <f>5332+5950</f>
        <v>11282</v>
      </c>
      <c r="AN20" s="2">
        <f>10805-8</f>
        <v>10797</v>
      </c>
      <c r="AO20" s="2">
        <f>10951-7</f>
        <v>10944</v>
      </c>
      <c r="AP20" s="2">
        <f>(4930+5839)</f>
        <v>10769</v>
      </c>
      <c r="AQ20" s="2">
        <f>10320-21</f>
        <v>10299</v>
      </c>
      <c r="AR20" s="60">
        <f>10763-16-28</f>
        <v>10719</v>
      </c>
      <c r="AS20" s="60">
        <f>10894-39-61</f>
        <v>10794</v>
      </c>
      <c r="AT20" s="60">
        <v>10418</v>
      </c>
      <c r="AU20" s="60">
        <f>10822-193-189</f>
        <v>10440</v>
      </c>
      <c r="AV20" s="2">
        <v>10313</v>
      </c>
      <c r="AW20" s="2">
        <f>10351-354-273</f>
        <v>9724</v>
      </c>
      <c r="AX20" s="2">
        <v>10051</v>
      </c>
      <c r="AY20" s="2">
        <v>10604</v>
      </c>
      <c r="AZ20" s="58">
        <v>667</v>
      </c>
      <c r="BA20" s="61">
        <v>591</v>
      </c>
      <c r="BB20" s="58">
        <v>10919</v>
      </c>
      <c r="BC20" s="61">
        <v>650</v>
      </c>
      <c r="BD20" s="61">
        <v>768</v>
      </c>
      <c r="BE20" s="58">
        <f>pivot!C15</f>
        <v>901</v>
      </c>
    </row>
    <row r="21" spans="1:57" ht="12.75" customHeight="1">
      <c r="A21" s="52" t="str">
        <f>pivot!A16</f>
        <v>UMC</v>
      </c>
      <c r="B21" s="53">
        <v>3.636218651568917E-2</v>
      </c>
      <c r="C21" s="54">
        <v>6.1249434133091897E-2</v>
      </c>
      <c r="D21" s="54">
        <v>6.4719384310725062E-2</v>
      </c>
      <c r="E21" s="55">
        <v>5.9253283133880147E-2</v>
      </c>
      <c r="F21" s="54">
        <v>5.9190720736674342E-2</v>
      </c>
      <c r="G21" s="54">
        <v>5.3939552760307478E-2</v>
      </c>
      <c r="H21" s="54">
        <f t="shared" si="0"/>
        <v>5.1714898177920687E-2</v>
      </c>
      <c r="I21" s="56">
        <f t="shared" si="1"/>
        <v>5.3054724822309399E-2</v>
      </c>
      <c r="J21" s="56">
        <f t="shared" si="2"/>
        <v>5.1290597341036179E-2</v>
      </c>
      <c r="K21" s="56">
        <f t="shared" si="3"/>
        <v>5.3705692803437163E-2</v>
      </c>
      <c r="L21" s="56">
        <v>5.4853817768946919E-2</v>
      </c>
      <c r="M21" s="56">
        <v>5.5835240274599546E-2</v>
      </c>
      <c r="N21" s="56">
        <v>5.6455360106206436E-2</v>
      </c>
      <c r="O21" s="56">
        <v>6.1593622947146015E-2</v>
      </c>
      <c r="P21" s="56">
        <f>pivot!B16</f>
        <v>6.3881759995052717E-2</v>
      </c>
      <c r="Q21" s="57">
        <v>912</v>
      </c>
      <c r="R21" s="58">
        <f>520+833</f>
        <v>1353</v>
      </c>
      <c r="S21" s="58">
        <f>539+899</f>
        <v>1438</v>
      </c>
      <c r="T21" s="59">
        <f>480+842</f>
        <v>1322</v>
      </c>
      <c r="U21" s="58">
        <v>1337</v>
      </c>
      <c r="V21" s="58">
        <f>460+775</f>
        <v>1235</v>
      </c>
      <c r="W21" s="58">
        <v>1351</v>
      </c>
      <c r="X21" s="58">
        <f>540+826</f>
        <v>1366</v>
      </c>
      <c r="Y21" s="58">
        <f>548+837</f>
        <v>1385</v>
      </c>
      <c r="Z21" s="58">
        <f>612+888</f>
        <v>1500</v>
      </c>
      <c r="AA21" s="2">
        <v>25081</v>
      </c>
      <c r="AB21" s="2">
        <v>24763</v>
      </c>
      <c r="AC21" s="2">
        <v>24275</v>
      </c>
      <c r="AD21" s="2">
        <v>23585</v>
      </c>
      <c r="AE21" s="2">
        <v>23047</v>
      </c>
      <c r="AF21" s="2">
        <v>22727</v>
      </c>
      <c r="AG21" s="2">
        <v>22958</v>
      </c>
      <c r="AH21" s="2">
        <v>23568</v>
      </c>
      <c r="AI21" s="2">
        <v>24344</v>
      </c>
      <c r="AJ21" s="2">
        <f>12690+12373</f>
        <v>25063</v>
      </c>
      <c r="AK21" s="2">
        <f>12424+12315</f>
        <v>24739</v>
      </c>
      <c r="AL21" s="2">
        <f>11725+11705</f>
        <v>23430</v>
      </c>
      <c r="AM21" s="2">
        <f>11214+11011</f>
        <v>22225</v>
      </c>
      <c r="AN21" s="2">
        <f>(10879+11296)-(274+241)</f>
        <v>21660</v>
      </c>
      <c r="AO21" s="2">
        <f>(10836+11520)-(223+265)</f>
        <v>21868</v>
      </c>
      <c r="AP21" s="2">
        <f>(10807+11712)-(212+221)</f>
        <v>22086</v>
      </c>
      <c r="AQ21" s="2">
        <f>(10882+11670)-(216+246)</f>
        <v>22090</v>
      </c>
      <c r="AR21" s="60">
        <f>22780-311-250</f>
        <v>22219</v>
      </c>
      <c r="AS21" s="60">
        <f>22930-344-275</f>
        <v>22311</v>
      </c>
      <c r="AT21" s="60">
        <v>22588</v>
      </c>
      <c r="AU21" s="60">
        <f>23667-365-406</f>
        <v>22896</v>
      </c>
      <c r="AV21" s="2">
        <v>26124</v>
      </c>
      <c r="AW21" s="2">
        <f>26805-519-539</f>
        <v>25747</v>
      </c>
      <c r="AX21" s="2">
        <v>27003</v>
      </c>
      <c r="AY21" s="2">
        <v>27930</v>
      </c>
      <c r="AZ21" s="58">
        <v>1546</v>
      </c>
      <c r="BA21" s="61">
        <v>1586</v>
      </c>
      <c r="BB21" s="58">
        <v>28405</v>
      </c>
      <c r="BC21" s="61">
        <v>1701</v>
      </c>
      <c r="BD21" s="61">
        <v>1924</v>
      </c>
      <c r="BE21" s="58">
        <f>pivot!C16</f>
        <v>2066</v>
      </c>
    </row>
    <row r="22" spans="1:57" ht="12.75" customHeight="1">
      <c r="A22" s="52" t="str">
        <f>pivot!A17</f>
        <v>UMKC</v>
      </c>
      <c r="B22" s="53">
        <v>6.6094639367938149E-2</v>
      </c>
      <c r="C22" s="54">
        <v>9.1687041564792182E-2</v>
      </c>
      <c r="D22" s="54">
        <v>9.4689378757515028E-2</v>
      </c>
      <c r="E22" s="55">
        <v>6.0550119992615836E-2</v>
      </c>
      <c r="F22" s="54">
        <v>0.10229058132804102</v>
      </c>
      <c r="G22" s="54">
        <v>0.1053828042542827</v>
      </c>
      <c r="H22" s="54">
        <f t="shared" si="0"/>
        <v>0.10359484187018227</v>
      </c>
      <c r="I22" s="56">
        <f t="shared" si="1"/>
        <v>0.10852947854385832</v>
      </c>
      <c r="J22" s="56">
        <f t="shared" si="2"/>
        <v>0.10704264870931537</v>
      </c>
      <c r="K22" s="56">
        <f t="shared" si="3"/>
        <v>0.10943396226415095</v>
      </c>
      <c r="L22" s="56">
        <v>0.10835150918173503</v>
      </c>
      <c r="M22" s="56">
        <v>0.10365600332363939</v>
      </c>
      <c r="N22" s="56">
        <v>0.1093847110006215</v>
      </c>
      <c r="O22" s="56">
        <v>0.11433204946280154</v>
      </c>
      <c r="P22" s="56">
        <f>pivot!B17</f>
        <v>0.11317910741201914</v>
      </c>
      <c r="Q22" s="57">
        <v>778</v>
      </c>
      <c r="R22" s="58">
        <f>303+597</f>
        <v>900</v>
      </c>
      <c r="S22" s="58">
        <f>309+636</f>
        <v>945</v>
      </c>
      <c r="T22" s="59">
        <f>325+331</f>
        <v>656</v>
      </c>
      <c r="U22" s="58">
        <v>1237</v>
      </c>
      <c r="V22" s="58">
        <f>400+898</f>
        <v>1298</v>
      </c>
      <c r="W22" s="58">
        <v>1438</v>
      </c>
      <c r="X22" s="58">
        <f>408+1026</f>
        <v>1434</v>
      </c>
      <c r="Y22" s="58">
        <f>439+1087</f>
        <v>1526</v>
      </c>
      <c r="Z22" s="58">
        <f>467+1099</f>
        <v>1566</v>
      </c>
      <c r="AA22" s="2">
        <v>11771</v>
      </c>
      <c r="AB22" s="2">
        <v>11419</v>
      </c>
      <c r="AC22" s="2">
        <v>11496</v>
      </c>
      <c r="AD22" s="2">
        <v>11464</v>
      </c>
      <c r="AE22" s="2">
        <v>11629</v>
      </c>
      <c r="AF22" s="2">
        <v>11583</v>
      </c>
      <c r="AG22" s="2">
        <v>11680</v>
      </c>
      <c r="AH22" s="2">
        <v>11628</v>
      </c>
      <c r="AI22" s="2">
        <v>11430</v>
      </c>
      <c r="AJ22" s="2">
        <f>4865+6406</f>
        <v>11271</v>
      </c>
      <c r="AK22" s="2">
        <f>4889+6270</f>
        <v>11159</v>
      </c>
      <c r="AL22" s="2">
        <f>4629+5860</f>
        <v>10489</v>
      </c>
      <c r="AM22" s="2">
        <f>4446+5412</f>
        <v>9858</v>
      </c>
      <c r="AN22" s="2">
        <f>(4469+5493)-(294+346)</f>
        <v>9322</v>
      </c>
      <c r="AO22" s="2">
        <f>(4510+5699)-(279+378)</f>
        <v>9552</v>
      </c>
      <c r="AP22" s="2">
        <f>(5806+4492)-(279+350)</f>
        <v>9669</v>
      </c>
      <c r="AQ22" s="2">
        <f>(4517+5927)-(286+342)</f>
        <v>9816</v>
      </c>
      <c r="AR22" s="60">
        <f>10610-283-347</f>
        <v>9980</v>
      </c>
      <c r="AS22" s="60">
        <f>11518-303-381</f>
        <v>10834</v>
      </c>
      <c r="AT22" s="60">
        <v>12093</v>
      </c>
      <c r="AU22" s="60">
        <f>12969-319-333</f>
        <v>12317</v>
      </c>
      <c r="AV22" s="2">
        <v>13881</v>
      </c>
      <c r="AW22" s="2">
        <f>14226-535-478</f>
        <v>13213</v>
      </c>
      <c r="AX22" s="2">
        <v>14256</v>
      </c>
      <c r="AY22" s="2">
        <v>14310</v>
      </c>
      <c r="AZ22" s="58">
        <v>1540</v>
      </c>
      <c r="BA22" s="61">
        <v>1497</v>
      </c>
      <c r="BB22" s="58">
        <v>14442</v>
      </c>
      <c r="BC22" s="61">
        <v>1584</v>
      </c>
      <c r="BD22" s="61">
        <v>1692</v>
      </c>
      <c r="BE22" s="58">
        <f>pivot!C17</f>
        <v>1727</v>
      </c>
    </row>
    <row r="23" spans="1:57" ht="12.75" customHeight="1">
      <c r="A23" s="52" t="str">
        <f>pivot!A18</f>
        <v>UMSL</v>
      </c>
      <c r="B23" s="53">
        <v>0.10419693301049233</v>
      </c>
      <c r="C23" s="54">
        <v>0.12157852777039596</v>
      </c>
      <c r="D23" s="54">
        <v>0.12323851774530271</v>
      </c>
      <c r="E23" s="55">
        <v>0.11842193246405884</v>
      </c>
      <c r="F23" s="54">
        <v>0.12046543463381246</v>
      </c>
      <c r="G23" s="54">
        <v>0.11809967527883665</v>
      </c>
      <c r="H23" s="54">
        <f t="shared" si="0"/>
        <v>0.11815046621535318</v>
      </c>
      <c r="I23" s="56">
        <f t="shared" si="1"/>
        <v>0.11728395061728394</v>
      </c>
      <c r="J23" s="56">
        <f t="shared" si="2"/>
        <v>0.12220931733126855</v>
      </c>
      <c r="K23" s="56">
        <f t="shared" si="3"/>
        <v>0.13165680473372782</v>
      </c>
      <c r="L23" s="56">
        <v>0.13118238021638332</v>
      </c>
      <c r="M23" s="56">
        <v>0.14010191575824035</v>
      </c>
      <c r="N23" s="56">
        <v>0.13976240391334732</v>
      </c>
      <c r="O23" s="56">
        <v>0.150961654771985</v>
      </c>
      <c r="P23" s="56">
        <f>pivot!B18</f>
        <v>0.15008040021440058</v>
      </c>
      <c r="Q23" s="57">
        <v>1291</v>
      </c>
      <c r="R23" s="58">
        <f>505+1325</f>
        <v>1830</v>
      </c>
      <c r="S23" s="58">
        <f>499+1390</f>
        <v>1889</v>
      </c>
      <c r="T23" s="59">
        <f>477+1294</f>
        <v>1771</v>
      </c>
      <c r="U23" s="58">
        <v>1760</v>
      </c>
      <c r="V23" s="58">
        <f>431+1242</f>
        <v>1673</v>
      </c>
      <c r="W23" s="58">
        <f>472+1378</f>
        <v>1850</v>
      </c>
      <c r="X23" s="58">
        <f>441+1288</f>
        <v>1729</v>
      </c>
      <c r="Y23" s="58">
        <f>474+1420</f>
        <v>1894</v>
      </c>
      <c r="Z23" s="58">
        <f>511+1536</f>
        <v>2047</v>
      </c>
      <c r="AA23" s="2">
        <v>12390</v>
      </c>
      <c r="AB23" s="2">
        <v>12035</v>
      </c>
      <c r="AC23" s="2">
        <v>11816</v>
      </c>
      <c r="AD23" s="2">
        <v>11596</v>
      </c>
      <c r="AE23" s="2">
        <v>11444</v>
      </c>
      <c r="AF23" s="2">
        <v>12328</v>
      </c>
      <c r="AG23" s="2">
        <v>13162</v>
      </c>
      <c r="AH23" s="2">
        <v>13932</v>
      </c>
      <c r="AI23" s="2">
        <v>14635</v>
      </c>
      <c r="AJ23" s="2">
        <f>6369+9028</f>
        <v>15397</v>
      </c>
      <c r="AK23" s="2">
        <f>6406+9214</f>
        <v>15620</v>
      </c>
      <c r="AL23" s="2">
        <f>6184+8742</f>
        <v>14926</v>
      </c>
      <c r="AM23" s="2">
        <f>6355+9056</f>
        <v>15411</v>
      </c>
      <c r="AN23" s="2">
        <f>(6006+9582)-(241+651)</f>
        <v>14696</v>
      </c>
      <c r="AO23" s="2">
        <f>(5999+9973)-(230+528)</f>
        <v>15214</v>
      </c>
      <c r="AP23" s="2">
        <f>(5963+10131)-(197+412)</f>
        <v>15485</v>
      </c>
      <c r="AQ23" s="2">
        <f>(5815+9760)-(193+330)</f>
        <v>15052</v>
      </c>
      <c r="AR23" s="60">
        <f>15880-221-331</f>
        <v>15328</v>
      </c>
      <c r="AS23" s="60">
        <f>15594-287-352</f>
        <v>14955</v>
      </c>
      <c r="AT23" s="60">
        <v>14610</v>
      </c>
      <c r="AU23" s="60">
        <f>14993-448-379</f>
        <v>14166</v>
      </c>
      <c r="AV23" s="2">
        <v>15658</v>
      </c>
      <c r="AW23" s="2">
        <f>15599-485-372</f>
        <v>14742</v>
      </c>
      <c r="AX23" s="2">
        <v>15498</v>
      </c>
      <c r="AY23" s="2">
        <v>15548</v>
      </c>
      <c r="AZ23" s="58">
        <v>2037</v>
      </c>
      <c r="BA23" s="61">
        <v>2172</v>
      </c>
      <c r="BB23" s="58">
        <v>15503</v>
      </c>
      <c r="BC23" s="61">
        <v>2200</v>
      </c>
      <c r="BD23" s="61">
        <v>2496</v>
      </c>
      <c r="BE23" s="58">
        <f>pivot!C18</f>
        <v>2520</v>
      </c>
    </row>
    <row r="24" spans="1:57" ht="12.75" customHeight="1">
      <c r="A24" s="52" t="s">
        <v>24</v>
      </c>
      <c r="B24" s="53">
        <v>6.0106299828044399E-2</v>
      </c>
      <c r="C24" s="54">
        <v>7.3477049989423962E-2</v>
      </c>
      <c r="D24" s="54">
        <v>7.5646779531788805E-2</v>
      </c>
      <c r="E24" s="55">
        <v>7.2013579461065139E-2</v>
      </c>
      <c r="F24" s="54">
        <v>7.8286733081531432E-2</v>
      </c>
      <c r="G24" s="54">
        <v>7.7846756385150623E-2</v>
      </c>
      <c r="H24" s="54">
        <f>+W24/AV24</f>
        <v>7.7427319108374804E-2</v>
      </c>
      <c r="I24" s="56">
        <f>+X24/AW24</f>
        <v>8.6409084231357541E-2</v>
      </c>
      <c r="J24" s="56">
        <f t="shared" ref="J24:J51" si="4">+Y24/AX24</f>
        <v>7.9551122194513713E-2</v>
      </c>
      <c r="K24" s="56">
        <f>+Z24/AY24</f>
        <v>8.4936631546801034E-2</v>
      </c>
      <c r="L24" s="56">
        <v>8.5519694275227973E-2</v>
      </c>
      <c r="M24" s="56">
        <v>8.6325239564116543E-2</v>
      </c>
      <c r="N24" s="56">
        <v>8.7110902434908918E-2</v>
      </c>
      <c r="O24" s="56">
        <v>9.1970709874794623E-2</v>
      </c>
      <c r="P24" s="56">
        <f>pivot!G6</f>
        <v>9.0365237117109642E-2</v>
      </c>
      <c r="Q24" s="57">
        <f t="shared" ref="Q24:BB24" si="5">SUM(Q11:Q23)</f>
        <v>6921</v>
      </c>
      <c r="R24" s="64">
        <f t="shared" si="5"/>
        <v>8337</v>
      </c>
      <c r="S24" s="64">
        <f t="shared" si="5"/>
        <v>8731</v>
      </c>
      <c r="T24" s="65">
        <f t="shared" si="5"/>
        <v>8485</v>
      </c>
      <c r="U24" s="64">
        <f t="shared" si="5"/>
        <v>9265</v>
      </c>
      <c r="V24" s="64">
        <f t="shared" si="5"/>
        <v>9342</v>
      </c>
      <c r="W24" s="64">
        <f t="shared" si="5"/>
        <v>9910</v>
      </c>
      <c r="X24" s="64">
        <f t="shared" si="5"/>
        <v>9999</v>
      </c>
      <c r="Y24" s="64">
        <f t="shared" si="5"/>
        <v>10208</v>
      </c>
      <c r="Z24" s="64">
        <f t="shared" si="5"/>
        <v>11125</v>
      </c>
      <c r="AA24" s="64">
        <f t="shared" si="5"/>
        <v>115146</v>
      </c>
      <c r="AB24" s="64">
        <f t="shared" si="5"/>
        <v>114037</v>
      </c>
      <c r="AC24" s="64">
        <f t="shared" si="5"/>
        <v>113472</v>
      </c>
      <c r="AD24" s="64">
        <f t="shared" si="5"/>
        <v>111172</v>
      </c>
      <c r="AE24" s="64">
        <f t="shared" si="5"/>
        <v>110372</v>
      </c>
      <c r="AF24" s="64">
        <f t="shared" si="5"/>
        <v>110683</v>
      </c>
      <c r="AG24" s="64">
        <f t="shared" si="5"/>
        <v>111911</v>
      </c>
      <c r="AH24" s="64">
        <f t="shared" si="5"/>
        <v>116421</v>
      </c>
      <c r="AI24" s="64">
        <f t="shared" si="5"/>
        <v>121031</v>
      </c>
      <c r="AJ24" s="64">
        <f t="shared" si="5"/>
        <v>125291</v>
      </c>
      <c r="AK24" s="64">
        <f t="shared" si="5"/>
        <v>126137</v>
      </c>
      <c r="AL24" s="64">
        <f t="shared" si="5"/>
        <v>122618</v>
      </c>
      <c r="AM24" s="64">
        <f t="shared" si="5"/>
        <v>119118</v>
      </c>
      <c r="AN24" s="64">
        <f t="shared" si="5"/>
        <v>114581</v>
      </c>
      <c r="AO24" s="64">
        <f t="shared" si="5"/>
        <v>114197</v>
      </c>
      <c r="AP24" s="64">
        <f t="shared" si="5"/>
        <v>113674</v>
      </c>
      <c r="AQ24" s="64">
        <f t="shared" si="5"/>
        <v>113464</v>
      </c>
      <c r="AR24" s="64">
        <f t="shared" si="5"/>
        <v>115418</v>
      </c>
      <c r="AS24" s="64">
        <f t="shared" si="5"/>
        <v>117825</v>
      </c>
      <c r="AT24" s="64">
        <f t="shared" si="5"/>
        <v>118347</v>
      </c>
      <c r="AU24" s="64">
        <f t="shared" si="5"/>
        <v>120005</v>
      </c>
      <c r="AV24" s="64">
        <f t="shared" si="5"/>
        <v>127991</v>
      </c>
      <c r="AW24" s="64">
        <f t="shared" si="5"/>
        <v>115717</v>
      </c>
      <c r="AX24" s="64">
        <f t="shared" si="5"/>
        <v>128320</v>
      </c>
      <c r="AY24" s="64">
        <f t="shared" si="5"/>
        <v>130980</v>
      </c>
      <c r="AZ24" s="64">
        <f t="shared" si="5"/>
        <v>11301</v>
      </c>
      <c r="BA24" s="64">
        <f t="shared" si="5"/>
        <v>11558</v>
      </c>
      <c r="BB24" s="64">
        <f t="shared" si="5"/>
        <v>133889</v>
      </c>
      <c r="BC24" s="64">
        <v>11874</v>
      </c>
      <c r="BD24" s="64">
        <f>SUM(BD11:BD23)</f>
        <v>12987</v>
      </c>
      <c r="BE24" s="64">
        <f>SUM(BE11:BE23)</f>
        <v>13066</v>
      </c>
    </row>
    <row r="25" spans="1:57" ht="12.75" customHeight="1">
      <c r="B25" s="48"/>
      <c r="C25" s="54"/>
      <c r="D25" s="54"/>
      <c r="E25" s="55"/>
      <c r="F25" s="54"/>
      <c r="G25" s="54"/>
      <c r="H25" s="54"/>
      <c r="I25" s="56"/>
      <c r="J25" s="56"/>
      <c r="K25" s="56"/>
      <c r="L25" s="56"/>
      <c r="M25" s="56"/>
      <c r="N25" s="56"/>
      <c r="O25" s="56"/>
      <c r="P25" s="56"/>
      <c r="Q25" s="50"/>
      <c r="R25" s="58"/>
      <c r="S25" s="58"/>
      <c r="T25" s="59"/>
      <c r="U25" s="58"/>
      <c r="V25" s="58"/>
      <c r="W25" s="58"/>
      <c r="X25" s="58"/>
      <c r="Y25" s="58"/>
      <c r="Z25" s="58"/>
    </row>
    <row r="26" spans="1:57" ht="33.75" customHeight="1">
      <c r="A26" s="47" t="s">
        <v>25</v>
      </c>
      <c r="B26" s="48"/>
      <c r="C26" s="54"/>
      <c r="D26" s="54"/>
      <c r="E26" s="55"/>
      <c r="F26" s="54"/>
      <c r="G26" s="54"/>
      <c r="H26" s="54"/>
      <c r="I26" s="56"/>
      <c r="J26" s="56"/>
      <c r="K26" s="56"/>
      <c r="L26" s="56"/>
      <c r="M26" s="56"/>
      <c r="N26" s="56"/>
      <c r="O26" s="56"/>
      <c r="P26" s="56"/>
      <c r="Q26" s="50"/>
      <c r="R26" s="58"/>
      <c r="S26" s="58"/>
      <c r="T26" s="59"/>
      <c r="U26" s="58"/>
      <c r="V26" s="58"/>
      <c r="W26" s="58"/>
      <c r="X26" s="58"/>
      <c r="Y26" s="58"/>
      <c r="Z26" s="58"/>
    </row>
    <row r="27" spans="1:57" ht="12.75" customHeight="1">
      <c r="A27" s="47"/>
      <c r="B27" s="48"/>
      <c r="C27" s="54"/>
      <c r="D27" s="54"/>
      <c r="E27" s="55"/>
      <c r="F27" s="54"/>
      <c r="G27" s="54"/>
      <c r="H27" s="54"/>
      <c r="I27" s="56"/>
      <c r="J27" s="56"/>
      <c r="K27" s="56"/>
      <c r="L27" s="56"/>
      <c r="M27" s="56"/>
      <c r="N27" s="56"/>
      <c r="O27" s="56"/>
      <c r="P27" s="56"/>
      <c r="Q27" s="50"/>
      <c r="R27" s="58"/>
      <c r="S27" s="58"/>
      <c r="T27" s="59"/>
      <c r="U27" s="58"/>
      <c r="V27" s="58"/>
      <c r="W27" s="58"/>
      <c r="X27" s="58"/>
      <c r="Y27" s="58"/>
      <c r="Z27" s="58"/>
    </row>
    <row r="28" spans="1:57" ht="12.75" customHeight="1">
      <c r="A28" s="52" t="str">
        <f>pivot!A20</f>
        <v>CROWDER</v>
      </c>
      <c r="B28" s="53">
        <v>1.048951048951049E-2</v>
      </c>
      <c r="C28" s="54">
        <v>7.5449796865931515E-3</v>
      </c>
      <c r="D28" s="54">
        <v>4.0556199304750866E-3</v>
      </c>
      <c r="E28" s="55">
        <v>9.8199672667757774E-3</v>
      </c>
      <c r="F28" s="54">
        <v>7.0339976553341153E-3</v>
      </c>
      <c r="G28" s="54">
        <v>6.0150375939849628E-3</v>
      </c>
      <c r="H28" s="54">
        <f t="shared" ref="H28:H51" si="6">+W28/AV28</f>
        <v>7.2525597269624577E-3</v>
      </c>
      <c r="I28" s="56">
        <f t="shared" ref="I28:I51" si="7">+X28/AW28</f>
        <v>1.2558869701726845E-2</v>
      </c>
      <c r="J28" s="56">
        <f t="shared" si="4"/>
        <v>1.1106855610877058E-2</v>
      </c>
      <c r="K28" s="56">
        <f>+Z28/AY28</f>
        <v>7.6481835564053535E-3</v>
      </c>
      <c r="L28" s="56">
        <v>1.2969283276450512E-2</v>
      </c>
      <c r="M28" s="56">
        <v>9.9096473331390274E-3</v>
      </c>
      <c r="N28" s="56">
        <v>1.3593882752761258E-2</v>
      </c>
      <c r="O28" s="56">
        <v>1.6733601070950468E-2</v>
      </c>
      <c r="P28" s="56">
        <f>pivot!B20</f>
        <v>1.3987353899214409E-2</v>
      </c>
      <c r="Q28" s="57">
        <v>12</v>
      </c>
      <c r="R28" s="58">
        <v>13</v>
      </c>
      <c r="S28" s="58">
        <v>7</v>
      </c>
      <c r="T28" s="59">
        <v>18</v>
      </c>
      <c r="U28" s="58">
        <v>12</v>
      </c>
      <c r="V28" s="58">
        <f>5+7</f>
        <v>12</v>
      </c>
      <c r="W28" s="58">
        <v>17</v>
      </c>
      <c r="X28" s="58">
        <f>13+19</f>
        <v>32</v>
      </c>
      <c r="Y28" s="58">
        <f>14+15</f>
        <v>29</v>
      </c>
      <c r="Z28" s="58">
        <v>20</v>
      </c>
      <c r="AA28" s="2">
        <v>1144</v>
      </c>
      <c r="AB28" s="2">
        <v>1267</v>
      </c>
      <c r="AC28" s="2">
        <v>1423</v>
      </c>
      <c r="AD28" s="2">
        <v>1179</v>
      </c>
      <c r="AE28" s="2">
        <v>1281</v>
      </c>
      <c r="AF28" s="2">
        <v>1351</v>
      </c>
      <c r="AG28" s="2">
        <v>1373</v>
      </c>
      <c r="AH28" s="2">
        <v>1487</v>
      </c>
      <c r="AI28" s="2">
        <v>1531</v>
      </c>
      <c r="AJ28" s="2">
        <f>726+882</f>
        <v>1608</v>
      </c>
      <c r="AK28" s="2">
        <f>718+915</f>
        <v>1633</v>
      </c>
      <c r="AL28" s="2">
        <f>776+1008</f>
        <v>1784</v>
      </c>
      <c r="AM28" s="2">
        <f>730+1011</f>
        <v>1741</v>
      </c>
      <c r="AN28" s="2">
        <f>1702-22</f>
        <v>1680</v>
      </c>
      <c r="AO28" s="2">
        <f>1698-27</f>
        <v>1671</v>
      </c>
      <c r="AP28" s="2">
        <v>1756</v>
      </c>
      <c r="AQ28" s="2">
        <f>1738-15</f>
        <v>1723</v>
      </c>
      <c r="AR28" s="60">
        <f>1750-24</f>
        <v>1726</v>
      </c>
      <c r="AS28" s="60">
        <f>1856-23</f>
        <v>1833</v>
      </c>
      <c r="AT28" s="60">
        <v>1706</v>
      </c>
      <c r="AU28" s="60">
        <f>2012-9-8</f>
        <v>1995</v>
      </c>
      <c r="AV28" s="2">
        <v>2344</v>
      </c>
      <c r="AW28" s="2">
        <f>2616-32-36</f>
        <v>2548</v>
      </c>
      <c r="AX28" s="2">
        <v>2611</v>
      </c>
      <c r="AY28" s="2">
        <v>2615</v>
      </c>
      <c r="AZ28" s="61">
        <v>38</v>
      </c>
      <c r="BA28" s="61">
        <v>34</v>
      </c>
      <c r="BB28" s="58">
        <v>3431</v>
      </c>
      <c r="BC28" s="61">
        <v>48</v>
      </c>
      <c r="BD28" s="114">
        <v>75</v>
      </c>
      <c r="BE28" s="2">
        <f>pivot!C20</f>
        <v>73</v>
      </c>
    </row>
    <row r="29" spans="1:57" ht="12.75" customHeight="1">
      <c r="A29" s="52" t="str">
        <f>pivot!A21</f>
        <v>EAST CENTRAL</v>
      </c>
      <c r="B29" s="53">
        <v>1.0294117647058823E-2</v>
      </c>
      <c r="C29" s="54">
        <v>6.7922198209323867E-3</v>
      </c>
      <c r="D29" s="54">
        <v>5.5737704918032791E-3</v>
      </c>
      <c r="E29" s="55">
        <v>7.47896540978498E-3</v>
      </c>
      <c r="F29" s="54">
        <v>8.4639498432601875E-3</v>
      </c>
      <c r="G29" s="54">
        <v>9.2432120161756205E-3</v>
      </c>
      <c r="H29" s="54">
        <f t="shared" si="6"/>
        <v>5.4216867469879517E-3</v>
      </c>
      <c r="I29" s="56">
        <f t="shared" si="7"/>
        <v>6.3151247237132934E-3</v>
      </c>
      <c r="J29" s="56">
        <f t="shared" si="4"/>
        <v>5.3940665268204973E-3</v>
      </c>
      <c r="K29" s="56">
        <f t="shared" ref="K29:K51" si="8">+Z29/AY29</f>
        <v>6.024096385542169E-3</v>
      </c>
      <c r="L29" s="56">
        <v>7.4841681059297643E-3</v>
      </c>
      <c r="M29" s="56">
        <v>9.9916736053288924E-3</v>
      </c>
      <c r="N29" s="56">
        <v>1.2809802283486493E-2</v>
      </c>
      <c r="O29" s="56">
        <v>1.0944563407090173E-2</v>
      </c>
      <c r="P29" s="56">
        <f>pivot!B21</f>
        <v>1.0512189666741221E-2</v>
      </c>
      <c r="Q29" s="57">
        <v>21</v>
      </c>
      <c r="R29" s="58">
        <v>22</v>
      </c>
      <c r="S29" s="58">
        <v>17</v>
      </c>
      <c r="T29" s="59">
        <f>13+11</f>
        <v>24</v>
      </c>
      <c r="U29" s="58">
        <v>27</v>
      </c>
      <c r="V29" s="58">
        <f>19+13</f>
        <v>32</v>
      </c>
      <c r="W29" s="58">
        <v>18</v>
      </c>
      <c r="X29" s="58">
        <v>20</v>
      </c>
      <c r="Y29" s="58">
        <v>18</v>
      </c>
      <c r="Z29" s="58">
        <f>15+6</f>
        <v>21</v>
      </c>
      <c r="AA29" s="2">
        <v>2040</v>
      </c>
      <c r="AB29" s="2">
        <v>2233</v>
      </c>
      <c r="AC29" s="2">
        <v>2189</v>
      </c>
      <c r="AD29" s="2">
        <v>2355</v>
      </c>
      <c r="AE29" s="2">
        <v>2478</v>
      </c>
      <c r="AF29" s="2">
        <v>2973</v>
      </c>
      <c r="AG29" s="2">
        <v>2775</v>
      </c>
      <c r="AH29" s="2">
        <v>2509</v>
      </c>
      <c r="AI29" s="2">
        <v>2714</v>
      </c>
      <c r="AJ29" s="2">
        <f>1111+1804</f>
        <v>2915</v>
      </c>
      <c r="AK29" s="2">
        <f>1220+1866</f>
        <v>3086</v>
      </c>
      <c r="AL29" s="2">
        <f>1224+1992</f>
        <v>3216</v>
      </c>
      <c r="AM29" s="2">
        <f>1173+1835</f>
        <v>3008</v>
      </c>
      <c r="AN29" s="2">
        <f>1818+1153</f>
        <v>2971</v>
      </c>
      <c r="AO29" s="2">
        <f>1095+1724</f>
        <v>2819</v>
      </c>
      <c r="AP29" s="2">
        <f>1209+1840</f>
        <v>3049</v>
      </c>
      <c r="AQ29" s="60">
        <f>1365+1874</f>
        <v>3239</v>
      </c>
      <c r="AR29" s="60">
        <f>1332+1718</f>
        <v>3050</v>
      </c>
      <c r="AS29" s="60">
        <f>1303+1906</f>
        <v>3209</v>
      </c>
      <c r="AT29" s="60">
        <v>3190</v>
      </c>
      <c r="AU29" s="60">
        <v>3462</v>
      </c>
      <c r="AV29" s="2">
        <v>3320</v>
      </c>
      <c r="AW29" s="2">
        <f>3269-76-26</f>
        <v>3167</v>
      </c>
      <c r="AX29" s="2">
        <v>3337</v>
      </c>
      <c r="AY29" s="2">
        <v>3486</v>
      </c>
      <c r="AZ29" s="61">
        <v>26</v>
      </c>
      <c r="BA29" s="61">
        <v>36</v>
      </c>
      <c r="BB29" s="58">
        <v>3603</v>
      </c>
      <c r="BC29" s="61">
        <v>46</v>
      </c>
      <c r="BD29" s="114">
        <v>46</v>
      </c>
      <c r="BE29" s="2">
        <f>pivot!C21</f>
        <v>47</v>
      </c>
    </row>
    <row r="30" spans="1:57" ht="12.75" customHeight="1">
      <c r="A30" s="52" t="str">
        <f>pivot!A22</f>
        <v>JEFFERSON</v>
      </c>
      <c r="B30" s="66">
        <v>9.4562647754137114E-3</v>
      </c>
      <c r="C30" s="67">
        <v>8.8316931617461528E-3</v>
      </c>
      <c r="D30" s="67">
        <v>7.1132187314759928E-3</v>
      </c>
      <c r="E30" s="68">
        <v>8.0106809078771702E-3</v>
      </c>
      <c r="F30" s="67">
        <v>9.9515868746637981E-3</v>
      </c>
      <c r="G30" s="54">
        <v>6.6365808335545531E-3</v>
      </c>
      <c r="H30" s="54">
        <f t="shared" si="6"/>
        <v>9.7768864377036843E-3</v>
      </c>
      <c r="I30" s="56">
        <f t="shared" si="7"/>
        <v>1.680672268907563E-2</v>
      </c>
      <c r="J30" s="56">
        <f t="shared" si="4"/>
        <v>1.1363636363636364E-2</v>
      </c>
      <c r="K30" s="56">
        <f t="shared" si="8"/>
        <v>1.3088404133180253E-2</v>
      </c>
      <c r="L30" s="56">
        <v>1.4031180400890868E-2</v>
      </c>
      <c r="M30" s="56">
        <v>1.6649537512846865E-2</v>
      </c>
      <c r="N30" s="56">
        <v>1.5160349854227406E-2</v>
      </c>
      <c r="O30" s="56">
        <v>1.6067726330338632E-2</v>
      </c>
      <c r="P30" s="56">
        <f>pivot!B22</f>
        <v>1.7926356589147287E-2</v>
      </c>
      <c r="Q30" s="69">
        <v>24</v>
      </c>
      <c r="R30" s="70">
        <f>18+17</f>
        <v>35</v>
      </c>
      <c r="S30" s="70">
        <f>11+13</f>
        <v>24</v>
      </c>
      <c r="T30" s="71">
        <v>30</v>
      </c>
      <c r="U30" s="70">
        <v>37</v>
      </c>
      <c r="V30" s="70">
        <f>14+11</f>
        <v>25</v>
      </c>
      <c r="W30" s="70">
        <f>16+23</f>
        <v>39</v>
      </c>
      <c r="X30" s="70">
        <v>40</v>
      </c>
      <c r="Y30" s="70">
        <f>17+30</f>
        <v>47</v>
      </c>
      <c r="Z30" s="70">
        <f>25+32</f>
        <v>57</v>
      </c>
      <c r="AA30" s="2">
        <v>2538</v>
      </c>
      <c r="AB30" s="2">
        <v>2699</v>
      </c>
      <c r="AC30" s="2">
        <v>2796</v>
      </c>
      <c r="AD30" s="2">
        <v>3023</v>
      </c>
      <c r="AE30" s="2">
        <v>3332</v>
      </c>
      <c r="AF30" s="2">
        <v>3289</v>
      </c>
      <c r="AG30" s="2">
        <v>3111</v>
      </c>
      <c r="AH30" s="2">
        <v>3294</v>
      </c>
      <c r="AI30" s="2">
        <v>3719</v>
      </c>
      <c r="AJ30" s="2">
        <f>1586+2351</f>
        <v>3937</v>
      </c>
      <c r="AK30" s="2">
        <f>1608+2439</f>
        <v>4047</v>
      </c>
      <c r="AL30" s="2">
        <f>1717+2493</f>
        <v>4210</v>
      </c>
      <c r="AM30" s="2">
        <f>1628+2315</f>
        <v>3943</v>
      </c>
      <c r="AN30" s="2">
        <f>(1578+2384)-(94+381)</f>
        <v>3487</v>
      </c>
      <c r="AO30" s="2">
        <f>(1502+2281)-(142+212)</f>
        <v>3429</v>
      </c>
      <c r="AP30" s="2">
        <f>(1655+2279)-(158+224)</f>
        <v>3552</v>
      </c>
      <c r="AQ30" s="60">
        <f>1711+2252</f>
        <v>3963</v>
      </c>
      <c r="AR30" s="60">
        <f>3971-229-368</f>
        <v>3374</v>
      </c>
      <c r="AS30" s="60">
        <f>3997-252</f>
        <v>3745</v>
      </c>
      <c r="AT30" s="60">
        <v>3718</v>
      </c>
      <c r="AU30" s="60">
        <f>3899-57-75</f>
        <v>3767</v>
      </c>
      <c r="AV30" s="2">
        <v>3989</v>
      </c>
      <c r="AW30" s="2">
        <f>2471-43-48</f>
        <v>2380</v>
      </c>
      <c r="AX30" s="2">
        <v>4136</v>
      </c>
      <c r="AY30" s="2">
        <v>4355</v>
      </c>
      <c r="AZ30" s="61">
        <v>63</v>
      </c>
      <c r="BA30" s="61">
        <v>81</v>
      </c>
      <c r="BB30" s="58">
        <v>4865</v>
      </c>
      <c r="BC30" s="61">
        <v>78</v>
      </c>
      <c r="BD30" s="114">
        <v>93</v>
      </c>
      <c r="BE30" s="2">
        <f>pivot!C22</f>
        <v>111</v>
      </c>
    </row>
    <row r="31" spans="1:57" ht="12.75" customHeight="1">
      <c r="A31" s="52" t="str">
        <f>pivot!A23</f>
        <v>LINN STATE</v>
      </c>
      <c r="B31" s="66" t="s">
        <v>30</v>
      </c>
      <c r="C31" s="54">
        <v>1.4705882352941176E-2</v>
      </c>
      <c r="D31" s="54">
        <v>1.7591339648173207E-2</v>
      </c>
      <c r="E31" s="55">
        <v>6.6050198150594455E-3</v>
      </c>
      <c r="F31" s="54">
        <v>2.5787965616045846E-2</v>
      </c>
      <c r="G31" s="54">
        <v>7.3710073710073713E-3</v>
      </c>
      <c r="H31" s="54">
        <f t="shared" si="6"/>
        <v>1.4857142857142857E-2</v>
      </c>
      <c r="I31" s="56">
        <f t="shared" si="7"/>
        <v>1.2716763005780347E-2</v>
      </c>
      <c r="J31" s="56">
        <f t="shared" si="4"/>
        <v>8.0645161290322578E-3</v>
      </c>
      <c r="K31" s="56">
        <f t="shared" si="8"/>
        <v>1.1389521640091117E-2</v>
      </c>
      <c r="L31" s="56">
        <v>1.2542759407069556E-2</v>
      </c>
      <c r="M31" s="56">
        <v>1.3745704467353952E-2</v>
      </c>
      <c r="N31" s="56">
        <v>2.1363173957273652E-2</v>
      </c>
      <c r="O31" s="56">
        <v>1.4010507880910683E-2</v>
      </c>
      <c r="P31" s="56">
        <f>pivot!B23</f>
        <v>1.7857142857142856E-2</v>
      </c>
      <c r="Q31" s="72" t="s">
        <v>30</v>
      </c>
      <c r="R31" s="58">
        <v>11</v>
      </c>
      <c r="S31" s="58">
        <v>13</v>
      </c>
      <c r="T31" s="59">
        <v>5</v>
      </c>
      <c r="U31" s="58">
        <v>9</v>
      </c>
      <c r="V31" s="58">
        <v>6</v>
      </c>
      <c r="W31" s="58">
        <v>13</v>
      </c>
      <c r="X31" s="58">
        <v>11</v>
      </c>
      <c r="Y31" s="58">
        <v>7</v>
      </c>
      <c r="Z31" s="58">
        <v>10</v>
      </c>
      <c r="AA31" s="73" t="s">
        <v>30</v>
      </c>
      <c r="AB31" s="73" t="s">
        <v>30</v>
      </c>
      <c r="AC31" s="73" t="s">
        <v>30</v>
      </c>
      <c r="AD31" s="73" t="s">
        <v>30</v>
      </c>
      <c r="AE31" s="73" t="s">
        <v>30</v>
      </c>
      <c r="AF31" s="73" t="s">
        <v>30</v>
      </c>
      <c r="AG31" s="73" t="s">
        <v>30</v>
      </c>
      <c r="AH31" s="73" t="s">
        <v>30</v>
      </c>
      <c r="AI31" s="73" t="s">
        <v>30</v>
      </c>
      <c r="AJ31" s="73" t="s">
        <v>30</v>
      </c>
      <c r="AK31" s="73" t="s">
        <v>30</v>
      </c>
      <c r="AL31" s="73" t="s">
        <v>30</v>
      </c>
      <c r="AM31" s="73" t="s">
        <v>30</v>
      </c>
      <c r="AN31" s="73" t="s">
        <v>30</v>
      </c>
      <c r="AO31" s="73" t="s">
        <v>30</v>
      </c>
      <c r="AP31" s="2">
        <f>706-7</f>
        <v>699</v>
      </c>
      <c r="AQ31" s="2">
        <f>757-9</f>
        <v>748</v>
      </c>
      <c r="AR31" s="60">
        <f>630+109</f>
        <v>739</v>
      </c>
      <c r="AS31" s="60">
        <f>667+90</f>
        <v>757</v>
      </c>
      <c r="AT31" s="60">
        <v>349</v>
      </c>
      <c r="AU31" s="60">
        <v>814</v>
      </c>
      <c r="AV31" s="2">
        <v>875</v>
      </c>
      <c r="AW31" s="2">
        <f>872-7</f>
        <v>865</v>
      </c>
      <c r="AX31" s="2">
        <v>868</v>
      </c>
      <c r="AY31" s="2">
        <v>878</v>
      </c>
      <c r="AZ31" s="61">
        <v>11</v>
      </c>
      <c r="BA31" s="61">
        <v>12</v>
      </c>
      <c r="BB31" s="58">
        <v>873</v>
      </c>
      <c r="BC31" s="61">
        <v>21</v>
      </c>
      <c r="BD31" s="114">
        <v>16</v>
      </c>
      <c r="BE31" s="2">
        <f>pivot!C23</f>
        <v>21</v>
      </c>
    </row>
    <row r="32" spans="1:57" ht="12.75" customHeight="1">
      <c r="A32" s="52" t="str">
        <f>pivot!A24</f>
        <v>MCCKC BR</v>
      </c>
      <c r="B32" s="66" t="s">
        <v>31</v>
      </c>
      <c r="C32" s="67" t="s">
        <v>31</v>
      </c>
      <c r="D32" s="67" t="s">
        <v>31</v>
      </c>
      <c r="E32" s="68" t="s">
        <v>31</v>
      </c>
      <c r="F32" s="67" t="s">
        <v>31</v>
      </c>
      <c r="G32" s="54">
        <v>2.3629068212215783E-2</v>
      </c>
      <c r="H32" s="54">
        <f t="shared" si="6"/>
        <v>2.5924147863658185E-2</v>
      </c>
      <c r="I32" s="56">
        <f t="shared" si="7"/>
        <v>2.2313296903460837E-2</v>
      </c>
      <c r="J32" s="56">
        <f t="shared" si="4"/>
        <v>1.9213973799126639E-2</v>
      </c>
      <c r="K32" s="56">
        <f t="shared" si="8"/>
        <v>2.5544703230653644E-2</v>
      </c>
      <c r="L32" s="56">
        <v>1.886080724254998E-2</v>
      </c>
      <c r="M32" s="56">
        <v>2.3570190641247834E-2</v>
      </c>
      <c r="N32" s="56">
        <v>2.8758169934640521E-2</v>
      </c>
      <c r="O32" s="56">
        <v>3.7368252954327691E-2</v>
      </c>
      <c r="P32" s="56">
        <f>pivot!B24</f>
        <v>4.0429742719819056E-2</v>
      </c>
      <c r="Q32" s="69" t="s">
        <v>31</v>
      </c>
      <c r="R32" s="70" t="s">
        <v>31</v>
      </c>
      <c r="S32" s="70" t="s">
        <v>31</v>
      </c>
      <c r="T32" s="71" t="s">
        <v>31</v>
      </c>
      <c r="U32" s="70" t="s">
        <v>31</v>
      </c>
      <c r="V32" s="70">
        <v>53</v>
      </c>
      <c r="W32" s="70">
        <v>54</v>
      </c>
      <c r="X32" s="70">
        <f>32+17</f>
        <v>49</v>
      </c>
      <c r="Y32" s="70">
        <f>22+22</f>
        <v>44</v>
      </c>
      <c r="Z32" s="70">
        <v>68</v>
      </c>
      <c r="AQ32" s="60"/>
      <c r="AR32" s="60"/>
      <c r="AS32" s="60"/>
      <c r="AT32" s="60"/>
      <c r="AU32" s="60">
        <f>2294-51</f>
        <v>2243</v>
      </c>
      <c r="AV32" s="2">
        <v>2083</v>
      </c>
      <c r="AW32" s="2">
        <f>2323-79-48</f>
        <v>2196</v>
      </c>
      <c r="AX32" s="2">
        <v>2290</v>
      </c>
      <c r="AY32" s="2">
        <v>2662</v>
      </c>
      <c r="AZ32" s="61">
        <v>50</v>
      </c>
      <c r="BA32" s="61">
        <v>68</v>
      </c>
      <c r="BB32" s="58">
        <v>2885</v>
      </c>
      <c r="BC32" s="61">
        <v>88</v>
      </c>
      <c r="BD32" s="114">
        <v>117</v>
      </c>
      <c r="BE32" s="2">
        <f>pivot!C24</f>
        <v>143</v>
      </c>
    </row>
    <row r="33" spans="1:57" ht="12.75" customHeight="1">
      <c r="A33" s="52" t="str">
        <f>pivot!A25</f>
        <v>MCCKC B&amp;T</v>
      </c>
      <c r="B33" s="66" t="s">
        <v>31</v>
      </c>
      <c r="C33" s="67" t="s">
        <v>31</v>
      </c>
      <c r="D33" s="67" t="s">
        <v>31</v>
      </c>
      <c r="E33" s="68" t="s">
        <v>31</v>
      </c>
      <c r="F33" s="67" t="s">
        <v>31</v>
      </c>
      <c r="G33" s="67" t="s">
        <v>31</v>
      </c>
      <c r="H33" s="54">
        <f>+W33/AV33</f>
        <v>8.0103359173126609E-2</v>
      </c>
      <c r="I33" s="56">
        <f>+X33/AW33</f>
        <v>6.8527918781725886E-2</v>
      </c>
      <c r="J33" s="56">
        <f>+Y33/AX33</f>
        <v>5.6022408963585436E-2</v>
      </c>
      <c r="K33" s="56">
        <f t="shared" si="8"/>
        <v>4.9833887043189369E-2</v>
      </c>
      <c r="L33" s="56">
        <v>8.4828711256117462E-2</v>
      </c>
      <c r="M33" s="56">
        <v>9.2043681747269887E-2</v>
      </c>
      <c r="N33" s="56">
        <v>0.12364760432766615</v>
      </c>
      <c r="O33" s="56">
        <v>0.10042432814710042</v>
      </c>
      <c r="P33" s="56">
        <f>pivot!B25</f>
        <v>0.11003627569528417</v>
      </c>
      <c r="Q33" s="69" t="s">
        <v>31</v>
      </c>
      <c r="R33" s="70" t="s">
        <v>31</v>
      </c>
      <c r="S33" s="70" t="s">
        <v>31</v>
      </c>
      <c r="T33" s="71" t="s">
        <v>31</v>
      </c>
      <c r="U33" s="70" t="s">
        <v>31</v>
      </c>
      <c r="V33" s="70" t="s">
        <v>31</v>
      </c>
      <c r="W33" s="58">
        <v>31</v>
      </c>
      <c r="X33" s="58">
        <f>12+3+12</f>
        <v>27</v>
      </c>
      <c r="Y33" s="58">
        <v>20</v>
      </c>
      <c r="Z33" s="58">
        <v>30</v>
      </c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R33" s="60"/>
      <c r="AS33" s="60"/>
      <c r="AT33" s="60"/>
      <c r="AU33" s="60"/>
      <c r="AV33" s="2">
        <v>387</v>
      </c>
      <c r="AW33" s="2">
        <f>+(242+51+99+9)-(2+2+2+1)</f>
        <v>394</v>
      </c>
      <c r="AX33" s="2">
        <v>357</v>
      </c>
      <c r="AY33" s="2">
        <v>602</v>
      </c>
      <c r="AZ33" s="61">
        <v>52</v>
      </c>
      <c r="BA33" s="61">
        <v>59</v>
      </c>
      <c r="BB33" s="58">
        <v>641</v>
      </c>
      <c r="BC33" s="61">
        <v>80</v>
      </c>
      <c r="BD33" s="114">
        <v>71</v>
      </c>
      <c r="BE33" s="2">
        <f>pivot!C25</f>
        <v>91</v>
      </c>
    </row>
    <row r="34" spans="1:57" ht="12.75" customHeight="1">
      <c r="A34" s="52" t="str">
        <f>pivot!A26</f>
        <v>MCCKC LV</v>
      </c>
      <c r="B34" s="53">
        <v>3.4385113268608415E-2</v>
      </c>
      <c r="C34" s="54">
        <v>8.9294774226281071E-2</v>
      </c>
      <c r="D34" s="54">
        <v>9.9776619508562925E-2</v>
      </c>
      <c r="E34" s="55">
        <v>0.1011387290314681</v>
      </c>
      <c r="F34" s="54">
        <v>0.10035798049623504</v>
      </c>
      <c r="G34" s="54">
        <v>0.13058782118972193</v>
      </c>
      <c r="H34" s="54">
        <f t="shared" si="6"/>
        <v>0.11409858669424336</v>
      </c>
      <c r="I34" s="56">
        <f t="shared" si="7"/>
        <v>0.10600771633290465</v>
      </c>
      <c r="J34" s="56">
        <f t="shared" si="4"/>
        <v>0.10119578797072996</v>
      </c>
      <c r="K34" s="56">
        <f t="shared" si="8"/>
        <v>9.3700370566437263E-2</v>
      </c>
      <c r="L34" s="56">
        <v>0.10262618737195009</v>
      </c>
      <c r="M34" s="56">
        <v>0.10430922877751063</v>
      </c>
      <c r="N34" s="56">
        <v>0.13218194254445964</v>
      </c>
      <c r="O34" s="56">
        <v>0.13620470438652257</v>
      </c>
      <c r="P34" s="56">
        <f>pivot!B26</f>
        <v>0.14895243921088852</v>
      </c>
      <c r="Q34" s="57">
        <v>170</v>
      </c>
      <c r="R34" s="58">
        <f>205+499</f>
        <v>704</v>
      </c>
      <c r="S34" s="58">
        <f>274+530</f>
        <v>804</v>
      </c>
      <c r="T34" s="59">
        <f>288+538</f>
        <v>826</v>
      </c>
      <c r="U34" s="58">
        <v>813</v>
      </c>
      <c r="V34" s="58">
        <f>256+486</f>
        <v>742</v>
      </c>
      <c r="W34" s="58">
        <f>211+451</f>
        <v>662</v>
      </c>
      <c r="X34" s="58">
        <f>176+401</f>
        <v>577</v>
      </c>
      <c r="Y34" s="58">
        <f>176+391</f>
        <v>567</v>
      </c>
      <c r="Z34" s="58">
        <f>160+371</f>
        <v>531</v>
      </c>
      <c r="AA34" s="2">
        <v>4944</v>
      </c>
      <c r="AB34" s="2">
        <v>5747</v>
      </c>
      <c r="AC34" s="2">
        <v>5928</v>
      </c>
      <c r="AD34" s="2">
        <v>5703</v>
      </c>
      <c r="AE34" s="2">
        <v>6091</v>
      </c>
      <c r="AF34" s="2">
        <v>6333</v>
      </c>
      <c r="AG34" s="2">
        <v>6946</v>
      </c>
      <c r="AH34" s="2">
        <v>7684</v>
      </c>
      <c r="AI34" s="2">
        <f>3771+5121</f>
        <v>8892</v>
      </c>
      <c r="AJ34" s="2">
        <f>4047+5578</f>
        <v>9625</v>
      </c>
      <c r="AK34" s="2">
        <f>4076+5768</f>
        <v>9844</v>
      </c>
      <c r="AL34" s="2">
        <f>3793+5621</f>
        <v>9414</v>
      </c>
      <c r="AM34" s="2">
        <f>3543+5416</f>
        <v>8959</v>
      </c>
      <c r="AN34" s="2">
        <f>3247+5106</f>
        <v>8353</v>
      </c>
      <c r="AO34" s="2">
        <f>3307+5081</f>
        <v>8388</v>
      </c>
      <c r="AP34" s="2">
        <f>3194+4880</f>
        <v>8074</v>
      </c>
      <c r="AQ34" s="2">
        <f>7905-21</f>
        <v>7884</v>
      </c>
      <c r="AR34" s="60">
        <f>8091-16-17</f>
        <v>8058</v>
      </c>
      <c r="AS34" s="60">
        <f>8198-31</f>
        <v>8167</v>
      </c>
      <c r="AT34" s="60">
        <v>8101</v>
      </c>
      <c r="AU34" s="60">
        <f>5792-62-48</f>
        <v>5682</v>
      </c>
      <c r="AV34" s="2">
        <v>5802</v>
      </c>
      <c r="AW34" s="2">
        <f>5713-150-120</f>
        <v>5443</v>
      </c>
      <c r="AX34" s="2">
        <v>5603</v>
      </c>
      <c r="AY34" s="2">
        <v>5667</v>
      </c>
      <c r="AZ34" s="61">
        <v>551</v>
      </c>
      <c r="BA34" s="61">
        <v>564</v>
      </c>
      <c r="BB34" s="58">
        <v>5407</v>
      </c>
      <c r="BC34" s="61">
        <v>773</v>
      </c>
      <c r="BD34" s="114">
        <v>857</v>
      </c>
      <c r="BE34" s="2">
        <f>pivot!C26</f>
        <v>974</v>
      </c>
    </row>
    <row r="35" spans="1:57" ht="12.75" customHeight="1">
      <c r="A35" s="52" t="str">
        <f>pivot!A27</f>
        <v>MCCKC MW</v>
      </c>
      <c r="B35" s="53">
        <v>5.2750565184626974E-3</v>
      </c>
      <c r="C35" s="54">
        <v>2.4796921761436511E-2</v>
      </c>
      <c r="D35" s="54">
        <v>2.8571428571428571E-2</v>
      </c>
      <c r="E35" s="55">
        <v>2.8368794326241134E-2</v>
      </c>
      <c r="F35" s="54">
        <v>2.2675736961451247E-2</v>
      </c>
      <c r="G35" s="54">
        <v>2.7586206896551724E-2</v>
      </c>
      <c r="H35" s="54">
        <f t="shared" si="6"/>
        <v>3.5950413223140493E-2</v>
      </c>
      <c r="I35" s="56">
        <f t="shared" si="7"/>
        <v>3.3224043715846995E-2</v>
      </c>
      <c r="J35" s="56">
        <f t="shared" si="4"/>
        <v>2.8468953149518045E-2</v>
      </c>
      <c r="K35" s="56">
        <f t="shared" si="8"/>
        <v>2.8815848716794237E-2</v>
      </c>
      <c r="L35" s="56">
        <v>3.1018518518518518E-2</v>
      </c>
      <c r="M35" s="56">
        <v>2.759084791386272E-2</v>
      </c>
      <c r="N35" s="56">
        <v>4.0228621675093425E-2</v>
      </c>
      <c r="O35" s="56">
        <v>4.6926229508196721E-2</v>
      </c>
      <c r="P35" s="56">
        <f>pivot!B27</f>
        <v>5.4967502321262768E-2</v>
      </c>
      <c r="Q35" s="57">
        <v>14</v>
      </c>
      <c r="R35" s="58">
        <f>61+55</f>
        <v>116</v>
      </c>
      <c r="S35" s="58">
        <f>63+81</f>
        <v>144</v>
      </c>
      <c r="T35" s="59">
        <f>67+77</f>
        <v>144</v>
      </c>
      <c r="U35" s="58">
        <v>120</v>
      </c>
      <c r="V35" s="58">
        <f>60+76</f>
        <v>136</v>
      </c>
      <c r="W35" s="58">
        <f>72+102</f>
        <v>174</v>
      </c>
      <c r="X35" s="58">
        <f>60+92</f>
        <v>152</v>
      </c>
      <c r="Y35" s="58">
        <f>47+80</f>
        <v>127</v>
      </c>
      <c r="Z35" s="58">
        <f>53+75</f>
        <v>128</v>
      </c>
      <c r="AA35" s="2">
        <v>2654</v>
      </c>
      <c r="AB35" s="2">
        <v>2797</v>
      </c>
      <c r="AC35" s="2">
        <v>2809</v>
      </c>
      <c r="AD35" s="2">
        <v>2704</v>
      </c>
      <c r="AE35" s="2">
        <v>2692</v>
      </c>
      <c r="AF35" s="2">
        <v>3079</v>
      </c>
      <c r="AG35" s="2">
        <v>3193</v>
      </c>
      <c r="AH35" s="2">
        <v>3848</v>
      </c>
      <c r="AI35" s="2">
        <f>1791+2355</f>
        <v>4146</v>
      </c>
      <c r="AJ35" s="2">
        <f>2009+2744</f>
        <v>4753</v>
      </c>
      <c r="AK35" s="2">
        <f>2184+2823</f>
        <v>5007</v>
      </c>
      <c r="AL35" s="2">
        <f>2216+2951</f>
        <v>5167</v>
      </c>
      <c r="AM35" s="2">
        <f>2162+2926</f>
        <v>5088</v>
      </c>
      <c r="AN35" s="2">
        <f>1936+2819</f>
        <v>4755</v>
      </c>
      <c r="AO35" s="2">
        <f>1846+2726</f>
        <v>4572</v>
      </c>
      <c r="AP35" s="2">
        <f>1857+2701</f>
        <v>4558</v>
      </c>
      <c r="AQ35" s="2">
        <f>1940+2738</f>
        <v>4678</v>
      </c>
      <c r="AR35" s="60">
        <f>2166+2874</f>
        <v>5040</v>
      </c>
      <c r="AS35" s="60">
        <f>2202+2874</f>
        <v>5076</v>
      </c>
      <c r="AT35" s="60">
        <v>5292</v>
      </c>
      <c r="AU35" s="60">
        <f>5045-61-54</f>
        <v>4930</v>
      </c>
      <c r="AV35" s="2">
        <v>4840</v>
      </c>
      <c r="AW35" s="2">
        <f>4747-98-74</f>
        <v>4575</v>
      </c>
      <c r="AX35" s="2">
        <v>4461</v>
      </c>
      <c r="AY35" s="2">
        <v>4442</v>
      </c>
      <c r="AZ35" s="61">
        <v>134</v>
      </c>
      <c r="BA35" s="61">
        <v>123</v>
      </c>
      <c r="BB35" s="58">
        <v>4458</v>
      </c>
      <c r="BC35" s="61">
        <v>183</v>
      </c>
      <c r="BD35" s="114">
        <v>229</v>
      </c>
      <c r="BE35" s="2">
        <f>pivot!C27</f>
        <v>296</v>
      </c>
    </row>
    <row r="36" spans="1:57" ht="12.75" customHeight="1">
      <c r="A36" s="52" t="str">
        <f>pivot!A28</f>
        <v>MCCKC PV</v>
      </c>
      <c r="B36" s="53">
        <v>0.35220919747520291</v>
      </c>
      <c r="C36" s="54">
        <v>0.37785098834262543</v>
      </c>
      <c r="D36" s="54">
        <v>0.37591809481415533</v>
      </c>
      <c r="E36" s="55">
        <v>0.37382958801498128</v>
      </c>
      <c r="F36" s="54">
        <v>0.3406744666207846</v>
      </c>
      <c r="G36" s="54">
        <v>0.31725285171102663</v>
      </c>
      <c r="H36" s="54">
        <f t="shared" si="6"/>
        <v>0.35218736190897038</v>
      </c>
      <c r="I36" s="56">
        <f t="shared" si="7"/>
        <v>0.32116126105692899</v>
      </c>
      <c r="J36" s="56">
        <f t="shared" si="4"/>
        <v>0.27443686712130605</v>
      </c>
      <c r="K36" s="56">
        <f t="shared" si="8"/>
        <v>0.25792417650714727</v>
      </c>
      <c r="L36" s="56">
        <v>0.27565733672603904</v>
      </c>
      <c r="M36" s="56">
        <v>0.27010857522712167</v>
      </c>
      <c r="N36" s="56">
        <v>0.31336405529953915</v>
      </c>
      <c r="O36" s="56">
        <v>0.34643470790378006</v>
      </c>
      <c r="P36" s="56">
        <f>pivot!B28</f>
        <v>0.37873284907183213</v>
      </c>
      <c r="Q36" s="57">
        <v>1953</v>
      </c>
      <c r="R36" s="58">
        <f>410+1081</f>
        <v>1491</v>
      </c>
      <c r="S36" s="58">
        <f>454+1235</f>
        <v>1689</v>
      </c>
      <c r="T36" s="59">
        <f>437+1160</f>
        <v>1597</v>
      </c>
      <c r="U36" s="58">
        <v>1485</v>
      </c>
      <c r="V36" s="58">
        <f>343+992</f>
        <v>1335</v>
      </c>
      <c r="W36" s="58">
        <f>417+1177</f>
        <v>1594</v>
      </c>
      <c r="X36" s="58">
        <f>1083+333</f>
        <v>1416</v>
      </c>
      <c r="Y36" s="58">
        <f>324+1004</f>
        <v>1328</v>
      </c>
      <c r="Z36" s="58">
        <f>320+925</f>
        <v>1245</v>
      </c>
      <c r="AA36" s="2">
        <v>5545</v>
      </c>
      <c r="AB36" s="2">
        <v>5734</v>
      </c>
      <c r="AC36" s="2">
        <v>5864</v>
      </c>
      <c r="AD36" s="2">
        <v>5247</v>
      </c>
      <c r="AE36" s="2">
        <v>4806</v>
      </c>
      <c r="AF36" s="2">
        <v>4857</v>
      </c>
      <c r="AG36" s="2">
        <v>5635</v>
      </c>
      <c r="AH36" s="2">
        <v>5481</v>
      </c>
      <c r="AI36" s="2">
        <f>2205+3719</f>
        <v>5924</v>
      </c>
      <c r="AJ36" s="2">
        <f>2108+3670</f>
        <v>5778</v>
      </c>
      <c r="AK36" s="2">
        <f>2168+3674</f>
        <v>5842</v>
      </c>
      <c r="AL36" s="2">
        <f>2026+3796</f>
        <v>5822</v>
      </c>
      <c r="AM36" s="2">
        <f>1888+3459</f>
        <v>5347</v>
      </c>
      <c r="AN36" s="2">
        <f>1819+3204</f>
        <v>5023</v>
      </c>
      <c r="AO36" s="2">
        <f>1507+2925</f>
        <v>4432</v>
      </c>
      <c r="AP36" s="2">
        <f>1437+2696</f>
        <v>4133</v>
      </c>
      <c r="AQ36" s="2">
        <f>1340+2606</f>
        <v>3946</v>
      </c>
      <c r="AR36" s="60">
        <f>1511+2982</f>
        <v>4493</v>
      </c>
      <c r="AS36" s="60">
        <f>4277-5</f>
        <v>4272</v>
      </c>
      <c r="AT36" s="60">
        <v>4359</v>
      </c>
      <c r="AU36" s="60">
        <f>4376-58-110</f>
        <v>4208</v>
      </c>
      <c r="AV36" s="2">
        <v>4526</v>
      </c>
      <c r="AW36" s="2">
        <f>4559-102-48</f>
        <v>4409</v>
      </c>
      <c r="AX36" s="2">
        <v>4839</v>
      </c>
      <c r="AY36" s="2">
        <v>4827</v>
      </c>
      <c r="AZ36" s="61">
        <v>1300</v>
      </c>
      <c r="BA36" s="61">
        <v>1219</v>
      </c>
      <c r="BB36" s="58">
        <v>4513</v>
      </c>
      <c r="BC36" s="61">
        <v>1360</v>
      </c>
      <c r="BD36" s="114">
        <v>1613</v>
      </c>
      <c r="BE36" s="2">
        <f>pivot!C28</f>
        <v>1877</v>
      </c>
    </row>
    <row r="37" spans="1:57" ht="12.75" customHeight="1">
      <c r="A37" s="52" t="str">
        <f>pivot!A29</f>
        <v>MINERAL</v>
      </c>
      <c r="B37" s="53">
        <v>1.0013351134846462E-2</v>
      </c>
      <c r="C37" s="54">
        <v>8.7197780420134752E-3</v>
      </c>
      <c r="D37" s="54">
        <v>1.0697305863708399E-2</v>
      </c>
      <c r="E37" s="55">
        <v>1.1049723756906077E-2</v>
      </c>
      <c r="F37" s="54">
        <v>1.0518407212622089E-2</v>
      </c>
      <c r="G37" s="54">
        <v>1.2367491166077738E-2</v>
      </c>
      <c r="H37" s="54">
        <f t="shared" si="6"/>
        <v>1.2932428063368898E-2</v>
      </c>
      <c r="I37" s="56">
        <f t="shared" si="7"/>
        <v>1.6162310866574967E-2</v>
      </c>
      <c r="J37" s="56">
        <f t="shared" si="4"/>
        <v>1.6312056737588652E-2</v>
      </c>
      <c r="K37" s="56">
        <f t="shared" si="8"/>
        <v>1.8088737201365189E-2</v>
      </c>
      <c r="L37" s="56">
        <v>1.5379357484620642E-2</v>
      </c>
      <c r="M37" s="56">
        <v>1.6661221822933683E-2</v>
      </c>
      <c r="N37" s="56">
        <v>1.6368128474366892E-2</v>
      </c>
      <c r="O37" s="56">
        <v>1.7978752383546716E-2</v>
      </c>
      <c r="P37" s="56">
        <f>pivot!B29</f>
        <v>2.0970186963112682E-2</v>
      </c>
      <c r="Q37" s="57">
        <v>15</v>
      </c>
      <c r="R37" s="58">
        <v>22</v>
      </c>
      <c r="S37" s="58">
        <f>11+16</f>
        <v>27</v>
      </c>
      <c r="T37" s="59">
        <f>16+12</f>
        <v>28</v>
      </c>
      <c r="U37" s="58">
        <v>28</v>
      </c>
      <c r="V37" s="58">
        <f>22+13</f>
        <v>35</v>
      </c>
      <c r="W37" s="58">
        <f>26+14</f>
        <v>40</v>
      </c>
      <c r="X37" s="58">
        <v>47</v>
      </c>
      <c r="Y37" s="58">
        <f>24+22</f>
        <v>46</v>
      </c>
      <c r="Z37" s="58">
        <f>24+29</f>
        <v>53</v>
      </c>
      <c r="AA37" s="2">
        <v>1498</v>
      </c>
      <c r="AB37" s="2">
        <v>1588</v>
      </c>
      <c r="AC37" s="2">
        <v>1685</v>
      </c>
      <c r="AD37" s="2">
        <v>1608</v>
      </c>
      <c r="AE37" s="2">
        <v>1854</v>
      </c>
      <c r="AF37" s="2">
        <v>2052</v>
      </c>
      <c r="AG37" s="2">
        <v>2148</v>
      </c>
      <c r="AH37" s="2">
        <v>2205</v>
      </c>
      <c r="AI37" s="2">
        <v>2540</v>
      </c>
      <c r="AJ37" s="2">
        <f>982+1667</f>
        <v>2649</v>
      </c>
      <c r="AK37" s="2">
        <f>1033+1809</f>
        <v>2842</v>
      </c>
      <c r="AL37" s="2">
        <f>1144+1817</f>
        <v>2961</v>
      </c>
      <c r="AM37" s="2">
        <f>1097+1685</f>
        <v>2782</v>
      </c>
      <c r="AN37" s="2">
        <f>853+1690</f>
        <v>2543</v>
      </c>
      <c r="AO37" s="2">
        <f>763+1584</f>
        <v>2347</v>
      </c>
      <c r="AP37" s="2">
        <f>(805+1623)-(21+38)</f>
        <v>2369</v>
      </c>
      <c r="AQ37" s="2">
        <f>(797+1770)-(14+30)</f>
        <v>2523</v>
      </c>
      <c r="AR37" s="60">
        <f>2581-25-32</f>
        <v>2524</v>
      </c>
      <c r="AS37" s="60">
        <f>2582-16-32</f>
        <v>2534</v>
      </c>
      <c r="AT37" s="60">
        <v>2662</v>
      </c>
      <c r="AU37" s="60">
        <f>2878-29-19</f>
        <v>2830</v>
      </c>
      <c r="AV37" s="2">
        <v>3093</v>
      </c>
      <c r="AW37" s="2">
        <f>2946-18-20</f>
        <v>2908</v>
      </c>
      <c r="AX37" s="2">
        <v>2820</v>
      </c>
      <c r="AY37" s="2">
        <v>2930</v>
      </c>
      <c r="AZ37" s="61">
        <v>45</v>
      </c>
      <c r="BA37" s="61">
        <v>51</v>
      </c>
      <c r="BB37" s="58">
        <v>3061</v>
      </c>
      <c r="BC37" s="61">
        <v>53</v>
      </c>
      <c r="BD37" s="114">
        <v>66</v>
      </c>
      <c r="BE37" s="2">
        <f>pivot!C29</f>
        <v>83</v>
      </c>
    </row>
    <row r="38" spans="1:57" ht="12.75" customHeight="1">
      <c r="A38" s="52" t="str">
        <f>pivot!A30</f>
        <v>MOBERLY</v>
      </c>
      <c r="B38" s="53">
        <v>0.12601626016260162</v>
      </c>
      <c r="C38" s="54">
        <v>3.151157065484983E-2</v>
      </c>
      <c r="D38" s="54">
        <v>2.5483304042179262E-2</v>
      </c>
      <c r="E38" s="55">
        <v>3.6936236391912909E-2</v>
      </c>
      <c r="F38" s="54">
        <v>4.1407867494824016E-2</v>
      </c>
      <c r="G38" s="54">
        <v>4.4327340359578422E-2</v>
      </c>
      <c r="H38" s="54">
        <f t="shared" si="6"/>
        <v>4.3046357615894038E-2</v>
      </c>
      <c r="I38" s="56">
        <f t="shared" si="7"/>
        <v>4.7295383743981873E-2</v>
      </c>
      <c r="J38" s="56">
        <f t="shared" si="4"/>
        <v>5.221861471861472E-2</v>
      </c>
      <c r="K38" s="56">
        <f t="shared" si="8"/>
        <v>6.055860088749674E-2</v>
      </c>
      <c r="L38" s="56">
        <v>5.8760107816711593E-2</v>
      </c>
      <c r="M38" s="56">
        <v>7.2123783379086592E-2</v>
      </c>
      <c r="N38" s="56">
        <v>8.5095669687814707E-2</v>
      </c>
      <c r="O38" s="56">
        <v>8.4208400646203552E-2</v>
      </c>
      <c r="P38" s="56">
        <f>pivot!B30</f>
        <v>9.4564818215203822E-2</v>
      </c>
      <c r="Q38" s="57">
        <v>124</v>
      </c>
      <c r="R38" s="58">
        <f>27+37</f>
        <v>64</v>
      </c>
      <c r="S38" s="58">
        <v>58</v>
      </c>
      <c r="T38" s="59">
        <f>34+61</f>
        <v>95</v>
      </c>
      <c r="U38" s="58">
        <v>120</v>
      </c>
      <c r="V38" s="58">
        <f>54+89</f>
        <v>143</v>
      </c>
      <c r="W38" s="58">
        <f>64+92</f>
        <v>156</v>
      </c>
      <c r="X38" s="58">
        <v>167</v>
      </c>
      <c r="Y38" s="58">
        <f>73+120</f>
        <v>193</v>
      </c>
      <c r="Z38" s="58">
        <f>152+80</f>
        <v>232</v>
      </c>
      <c r="AA38" s="2">
        <v>984</v>
      </c>
      <c r="AB38" s="2">
        <v>1028</v>
      </c>
      <c r="AC38" s="2">
        <v>1121</v>
      </c>
      <c r="AD38" s="2">
        <v>1038</v>
      </c>
      <c r="AE38" s="76" t="s">
        <v>31</v>
      </c>
      <c r="AF38" s="2">
        <v>1070</v>
      </c>
      <c r="AG38" s="2">
        <v>1106</v>
      </c>
      <c r="AH38" s="2">
        <v>1317</v>
      </c>
      <c r="AI38" s="2">
        <v>1400</v>
      </c>
      <c r="AJ38" s="2">
        <f>615+903</f>
        <v>1518</v>
      </c>
      <c r="AK38" s="2">
        <f>615+1029</f>
        <v>1644</v>
      </c>
      <c r="AL38" s="2">
        <f>670+1176</f>
        <v>1846</v>
      </c>
      <c r="AM38" s="2">
        <f>672+1111</f>
        <v>1783</v>
      </c>
      <c r="AN38" s="2">
        <f>589+1009</f>
        <v>1598</v>
      </c>
      <c r="AO38" s="2">
        <f>1754-15</f>
        <v>1739</v>
      </c>
      <c r="AP38" s="2">
        <f>1923-11</f>
        <v>1912</v>
      </c>
      <c r="AQ38" s="2">
        <f>2043-12</f>
        <v>2031</v>
      </c>
      <c r="AR38" s="60">
        <f>2293-17</f>
        <v>2276</v>
      </c>
      <c r="AS38" s="60">
        <f>2606-34</f>
        <v>2572</v>
      </c>
      <c r="AT38" s="60">
        <v>2898</v>
      </c>
      <c r="AU38" s="60">
        <f>3269-31-12</f>
        <v>3226</v>
      </c>
      <c r="AV38" s="2">
        <v>3624</v>
      </c>
      <c r="AW38" s="2">
        <f>3588-57</f>
        <v>3531</v>
      </c>
      <c r="AX38" s="2">
        <v>3696</v>
      </c>
      <c r="AY38" s="2">
        <v>3831</v>
      </c>
      <c r="AZ38" s="61">
        <v>218</v>
      </c>
      <c r="BA38" s="61">
        <v>289</v>
      </c>
      <c r="BB38" s="58">
        <v>4007</v>
      </c>
      <c r="BC38" s="61">
        <v>338</v>
      </c>
      <c r="BD38" s="115">
        <v>417</v>
      </c>
      <c r="BE38" s="2">
        <f>pivot!C30</f>
        <v>515</v>
      </c>
    </row>
    <row r="39" spans="1:57" ht="12.75" customHeight="1">
      <c r="A39" s="52" t="str">
        <f>pivot!A31</f>
        <v>MO STATE WP</v>
      </c>
      <c r="B39" s="53">
        <v>3.787878787878788E-3</v>
      </c>
      <c r="C39" s="54">
        <v>9.0909090909090905E-3</v>
      </c>
      <c r="D39" s="54">
        <v>9.4959824689554422E-3</v>
      </c>
      <c r="E39" s="55">
        <v>1.0021474588403722E-2</v>
      </c>
      <c r="F39" s="54">
        <v>9.180327868852459E-3</v>
      </c>
      <c r="G39" s="54">
        <v>7.8644888082274652E-3</v>
      </c>
      <c r="H39" s="54">
        <f>+W39/AV39</f>
        <v>1.1627906976744186E-2</v>
      </c>
      <c r="I39" s="56">
        <f>+X39/AW39</f>
        <v>1.0005885815185403E-2</v>
      </c>
      <c r="J39" s="56">
        <f>+Y39/AX39</f>
        <v>1.1543134872417983E-2</v>
      </c>
      <c r="K39" s="56">
        <f>+Z39/AY39</f>
        <v>1.0149253731343283E-2</v>
      </c>
      <c r="L39" s="56">
        <v>7.537688442211055E-3</v>
      </c>
      <c r="M39" s="56">
        <v>1.3233601841196778E-2</v>
      </c>
      <c r="N39" s="56">
        <v>8.1788440567066526E-3</v>
      </c>
      <c r="O39" s="56">
        <v>9.7132284921369102E-3</v>
      </c>
      <c r="P39" s="56">
        <f>pivot!B31</f>
        <v>9.0130689499774673E-3</v>
      </c>
      <c r="Q39" s="57">
        <v>2</v>
      </c>
      <c r="R39" s="58">
        <v>12</v>
      </c>
      <c r="S39" s="58">
        <v>13</v>
      </c>
      <c r="T39" s="59">
        <v>14</v>
      </c>
      <c r="U39" s="58">
        <v>14</v>
      </c>
      <c r="V39" s="58">
        <f>12+1</f>
        <v>13</v>
      </c>
      <c r="W39" s="58">
        <v>20</v>
      </c>
      <c r="X39" s="58">
        <v>17</v>
      </c>
      <c r="Y39" s="58">
        <f>13+6</f>
        <v>19</v>
      </c>
      <c r="Z39" s="58">
        <v>17</v>
      </c>
      <c r="AA39" s="2">
        <v>528</v>
      </c>
      <c r="AB39" s="2">
        <v>542</v>
      </c>
      <c r="AC39" s="2">
        <v>583</v>
      </c>
      <c r="AD39" s="2">
        <v>569</v>
      </c>
      <c r="AE39" s="2">
        <v>608</v>
      </c>
      <c r="AF39" s="2">
        <v>661</v>
      </c>
      <c r="AG39" s="2">
        <v>566</v>
      </c>
      <c r="AH39" s="2">
        <v>555</v>
      </c>
      <c r="AI39" s="2">
        <v>635</v>
      </c>
      <c r="AJ39" s="2">
        <f>235+620</f>
        <v>855</v>
      </c>
      <c r="AK39" s="2">
        <f>243+676</f>
        <v>919</v>
      </c>
      <c r="AL39" s="2">
        <f>282+689</f>
        <v>971</v>
      </c>
      <c r="AM39" s="2">
        <f>319+671</f>
        <v>990</v>
      </c>
      <c r="AN39" s="2">
        <f>(294+722)-(16+46)</f>
        <v>954</v>
      </c>
      <c r="AO39" s="2">
        <f>289+683</f>
        <v>972</v>
      </c>
      <c r="AP39" s="2">
        <f>371+783</f>
        <v>1154</v>
      </c>
      <c r="AQ39" s="2">
        <f>419+901</f>
        <v>1320</v>
      </c>
      <c r="AR39" s="60">
        <f>445+924</f>
        <v>1369</v>
      </c>
      <c r="AS39" s="60">
        <f>440+957</f>
        <v>1397</v>
      </c>
      <c r="AT39" s="60">
        <v>1525</v>
      </c>
      <c r="AU39" s="60">
        <v>1653</v>
      </c>
      <c r="AV39" s="2">
        <v>1720</v>
      </c>
      <c r="AW39" s="2">
        <v>1699</v>
      </c>
      <c r="AX39" s="2">
        <v>1646</v>
      </c>
      <c r="AY39" s="2">
        <v>1675</v>
      </c>
      <c r="AZ39" s="61">
        <v>12</v>
      </c>
      <c r="BA39" s="61">
        <v>23</v>
      </c>
      <c r="BB39" s="58">
        <v>1738</v>
      </c>
      <c r="BC39" s="61">
        <v>15</v>
      </c>
      <c r="BD39" s="114">
        <v>21</v>
      </c>
      <c r="BE39" s="2">
        <f>pivot!C31</f>
        <v>20</v>
      </c>
    </row>
    <row r="40" spans="1:57" ht="12.75" customHeight="1">
      <c r="A40" s="52" t="str">
        <f>pivot!A32</f>
        <v>NCMO</v>
      </c>
      <c r="B40" s="53">
        <v>1.4925373134328358E-2</v>
      </c>
      <c r="C40" s="54">
        <v>8.0385852090032153E-4</v>
      </c>
      <c r="D40" s="54">
        <v>7.2727272727272727E-3</v>
      </c>
      <c r="E40" s="55">
        <v>7.5815011372251705E-3</v>
      </c>
      <c r="F40" s="54">
        <v>1.0699001426533523E-2</v>
      </c>
      <c r="G40" s="54">
        <v>1.4094955489614243E-2</v>
      </c>
      <c r="H40" s="54">
        <f t="shared" si="6"/>
        <v>8.3449235048678721E-3</v>
      </c>
      <c r="I40" s="56">
        <f t="shared" si="7"/>
        <v>1.4037433155080214E-2</v>
      </c>
      <c r="J40" s="56">
        <f t="shared" si="4"/>
        <v>1.3513513513513514E-2</v>
      </c>
      <c r="K40" s="56">
        <f t="shared" si="8"/>
        <v>2.0119225037257823E-2</v>
      </c>
      <c r="L40" s="56">
        <v>1.4403292181069959E-2</v>
      </c>
      <c r="M40" s="56">
        <v>1.2624584717607974E-2</v>
      </c>
      <c r="N40" s="56">
        <v>1.0526315789473684E-2</v>
      </c>
      <c r="O40" s="56">
        <v>1.1653718091009988E-2</v>
      </c>
      <c r="P40" s="56">
        <f>pivot!B32</f>
        <v>1.9136139967195188E-2</v>
      </c>
      <c r="Q40" s="57">
        <v>8</v>
      </c>
      <c r="R40" s="58">
        <v>1</v>
      </c>
      <c r="S40" s="58">
        <v>10</v>
      </c>
      <c r="T40" s="59">
        <v>10</v>
      </c>
      <c r="U40" s="58">
        <v>15</v>
      </c>
      <c r="V40" s="58">
        <f>16+3</f>
        <v>19</v>
      </c>
      <c r="W40" s="58">
        <v>12</v>
      </c>
      <c r="X40" s="58">
        <v>21</v>
      </c>
      <c r="Y40" s="58">
        <f>14+5</f>
        <v>19</v>
      </c>
      <c r="Z40" s="58">
        <f>16+11</f>
        <v>27</v>
      </c>
      <c r="AA40" s="2">
        <v>536</v>
      </c>
      <c r="AB40" s="2">
        <v>555</v>
      </c>
      <c r="AC40" s="2">
        <v>626</v>
      </c>
      <c r="AD40" s="2">
        <v>608</v>
      </c>
      <c r="AE40" s="2">
        <v>737</v>
      </c>
      <c r="AF40" s="2">
        <v>788</v>
      </c>
      <c r="AG40" s="2">
        <v>667</v>
      </c>
      <c r="AH40" s="2">
        <v>737</v>
      </c>
      <c r="AI40" s="2">
        <v>845</v>
      </c>
      <c r="AJ40" s="2">
        <f>235+668</f>
        <v>903</v>
      </c>
      <c r="AK40" s="2">
        <f>247+724</f>
        <v>971</v>
      </c>
      <c r="AL40" s="2">
        <f>305+733</f>
        <v>1038</v>
      </c>
      <c r="AM40" s="2">
        <f>378+762</f>
        <v>1140</v>
      </c>
      <c r="AN40" s="2">
        <f>358+780</f>
        <v>1138</v>
      </c>
      <c r="AO40" s="2">
        <f>359+724</f>
        <v>1083</v>
      </c>
      <c r="AP40" s="2">
        <f>380+808</f>
        <v>1188</v>
      </c>
      <c r="AQ40" s="2">
        <f>372+872</f>
        <v>1244</v>
      </c>
      <c r="AR40" s="60">
        <f>425+950</f>
        <v>1375</v>
      </c>
      <c r="AS40" s="60">
        <f>426+893</f>
        <v>1319</v>
      </c>
      <c r="AT40" s="60">
        <v>1402</v>
      </c>
      <c r="AU40" s="60">
        <v>1348</v>
      </c>
      <c r="AV40" s="2">
        <v>1438</v>
      </c>
      <c r="AW40" s="2">
        <v>1496</v>
      </c>
      <c r="AX40" s="2">
        <v>1406</v>
      </c>
      <c r="AY40" s="2">
        <v>1342</v>
      </c>
      <c r="AZ40" s="61">
        <v>21</v>
      </c>
      <c r="BA40" s="61">
        <v>19</v>
      </c>
      <c r="BB40" s="58">
        <v>1505</v>
      </c>
      <c r="BC40" s="61">
        <v>16</v>
      </c>
      <c r="BD40" s="114">
        <v>21</v>
      </c>
      <c r="BE40" s="2">
        <f>pivot!C32</f>
        <v>35</v>
      </c>
    </row>
    <row r="41" spans="1:57" ht="12.75" customHeight="1">
      <c r="A41" s="52" t="str">
        <f>pivot!A33</f>
        <v>OTC</v>
      </c>
      <c r="B41" s="77" t="s">
        <v>31</v>
      </c>
      <c r="C41" s="54">
        <v>1.3543118900617407E-2</v>
      </c>
      <c r="D41" s="54">
        <v>1.6544824932666409E-2</v>
      </c>
      <c r="E41" s="55">
        <v>1.9080659150043366E-2</v>
      </c>
      <c r="F41" s="54">
        <v>1.767472028538998E-2</v>
      </c>
      <c r="G41" s="54">
        <v>1.5200868621064061E-2</v>
      </c>
      <c r="H41" s="54">
        <f t="shared" si="6"/>
        <v>1.4883148831488315E-2</v>
      </c>
      <c r="I41" s="56">
        <f t="shared" si="7"/>
        <v>1.705782724413259E-2</v>
      </c>
      <c r="J41" s="56">
        <f t="shared" si="4"/>
        <v>2.1096104475945975E-2</v>
      </c>
      <c r="K41" s="56">
        <f t="shared" si="8"/>
        <v>2.0893294957893615E-2</v>
      </c>
      <c r="L41" s="56">
        <v>1.9551049963794351E-2</v>
      </c>
      <c r="M41" s="56">
        <v>2.0501806111490776E-2</v>
      </c>
      <c r="N41" s="56">
        <v>2.4559193954659948E-2</v>
      </c>
      <c r="O41" s="56">
        <v>2.9726792921452964E-2</v>
      </c>
      <c r="P41" s="56">
        <f>pivot!B33</f>
        <v>2.8402962536851945E-2</v>
      </c>
      <c r="Q41" s="78" t="s">
        <v>31</v>
      </c>
      <c r="R41" s="58">
        <f>37+31</f>
        <v>68</v>
      </c>
      <c r="S41" s="58">
        <f>43+43</f>
        <v>86</v>
      </c>
      <c r="T41" s="59">
        <f>51+59</f>
        <v>110</v>
      </c>
      <c r="U41" s="58">
        <v>109</v>
      </c>
      <c r="V41" s="58">
        <f>59+53</f>
        <v>112</v>
      </c>
      <c r="W41" s="58">
        <f>59+62</f>
        <v>121</v>
      </c>
      <c r="X41" s="58">
        <f>59+82</f>
        <v>141</v>
      </c>
      <c r="Y41" s="58">
        <f>87+102</f>
        <v>189</v>
      </c>
      <c r="Z41" s="58">
        <f>89+107</f>
        <v>196</v>
      </c>
      <c r="AK41" s="2">
        <f>572+607</f>
        <v>1179</v>
      </c>
      <c r="AL41" s="2">
        <v>2073</v>
      </c>
      <c r="AM41" s="2">
        <f>1321+1613</f>
        <v>2934</v>
      </c>
      <c r="AN41" s="2">
        <f>(1286+1809)-(24+24)</f>
        <v>3047</v>
      </c>
      <c r="AO41" s="2">
        <f>3507-29</f>
        <v>3478</v>
      </c>
      <c r="AP41" s="2">
        <f>(1851+2410)-(25)</f>
        <v>4236</v>
      </c>
      <c r="AQ41" s="2">
        <f>(2363+2766)-108</f>
        <v>5021</v>
      </c>
      <c r="AR41" s="60">
        <f>5317-75-44</f>
        <v>5198</v>
      </c>
      <c r="AS41" s="60">
        <f>5922-157</f>
        <v>5765</v>
      </c>
      <c r="AT41" s="60">
        <v>6167</v>
      </c>
      <c r="AU41" s="60">
        <f>7571-113-90</f>
        <v>7368</v>
      </c>
      <c r="AV41" s="2">
        <v>8130</v>
      </c>
      <c r="AW41" s="2">
        <f>8488-111-111</f>
        <v>8266</v>
      </c>
      <c r="AX41" s="2">
        <v>8959</v>
      </c>
      <c r="AY41" s="2">
        <v>9381</v>
      </c>
      <c r="AZ41" s="61">
        <v>189</v>
      </c>
      <c r="BA41" s="61">
        <v>210</v>
      </c>
      <c r="BB41" s="58">
        <v>10243</v>
      </c>
      <c r="BC41" s="61">
        <v>273</v>
      </c>
      <c r="BD41" s="114">
        <v>383</v>
      </c>
      <c r="BE41" s="2">
        <f>pivot!C33</f>
        <v>395</v>
      </c>
    </row>
    <row r="42" spans="1:57" ht="12.75" customHeight="1">
      <c r="A42" s="52" t="str">
        <f>pivot!A34</f>
        <v>ST CHARLES</v>
      </c>
      <c r="B42" s="66" t="s">
        <v>31</v>
      </c>
      <c r="C42" s="54">
        <v>1.4866204162537165E-2</v>
      </c>
      <c r="D42" s="54">
        <v>1.4955686853766617E-2</v>
      </c>
      <c r="E42" s="55">
        <v>2.189648932319942E-2</v>
      </c>
      <c r="F42" s="54">
        <v>2.5696316262354E-2</v>
      </c>
      <c r="G42" s="54">
        <v>2.5765678172095283E-2</v>
      </c>
      <c r="H42" s="54">
        <f t="shared" si="6"/>
        <v>2.7828191167574106E-2</v>
      </c>
      <c r="I42" s="56">
        <f t="shared" si="7"/>
        <v>3.0316606929510156E-2</v>
      </c>
      <c r="J42" s="56">
        <f t="shared" si="4"/>
        <v>3.6473715298287065E-2</v>
      </c>
      <c r="K42" s="56">
        <f t="shared" si="8"/>
        <v>4.1339155749636099E-2</v>
      </c>
      <c r="L42" s="56">
        <v>0.04</v>
      </c>
      <c r="M42" s="56">
        <v>4.1973171787105149E-2</v>
      </c>
      <c r="N42" s="56">
        <v>4.3359694573220614E-2</v>
      </c>
      <c r="O42" s="56">
        <v>4.7990785769132328E-2</v>
      </c>
      <c r="P42" s="56">
        <f>pivot!B34</f>
        <v>5.4620824189222143E-2</v>
      </c>
      <c r="Q42" s="69" t="s">
        <v>31</v>
      </c>
      <c r="R42" s="58">
        <f>31+44</f>
        <v>75</v>
      </c>
      <c r="S42" s="58">
        <f>28+53</f>
        <v>81</v>
      </c>
      <c r="T42" s="59">
        <f>37+84</f>
        <v>121</v>
      </c>
      <c r="U42" s="58">
        <v>143</v>
      </c>
      <c r="V42" s="58">
        <f>53+106</f>
        <v>159</v>
      </c>
      <c r="W42" s="58">
        <f>60+124</f>
        <v>184</v>
      </c>
      <c r="X42" s="58">
        <f>59+144</f>
        <v>203</v>
      </c>
      <c r="Y42" s="58">
        <f>77+170</f>
        <v>247</v>
      </c>
      <c r="Z42" s="58">
        <f>88+196</f>
        <v>284</v>
      </c>
      <c r="AA42" s="76" t="s">
        <v>31</v>
      </c>
      <c r="AB42" s="76" t="s">
        <v>31</v>
      </c>
      <c r="AC42" s="76" t="s">
        <v>31</v>
      </c>
      <c r="AD42" s="76" t="s">
        <v>31</v>
      </c>
      <c r="AE42" s="76" t="s">
        <v>31</v>
      </c>
      <c r="AF42" s="76" t="s">
        <v>31</v>
      </c>
      <c r="AG42" s="2">
        <v>1547</v>
      </c>
      <c r="AH42" s="2">
        <v>2249</v>
      </c>
      <c r="AI42" s="2">
        <v>2938</v>
      </c>
      <c r="AJ42" s="2">
        <f>1040+2465</f>
        <v>3505</v>
      </c>
      <c r="AK42" s="2">
        <f>1136+2731</f>
        <v>3867</v>
      </c>
      <c r="AL42" s="2">
        <f>1519+3096</f>
        <v>4615</v>
      </c>
      <c r="AM42" s="2">
        <f>1654+3016</f>
        <v>4670</v>
      </c>
      <c r="AN42" s="2">
        <f>1597+2954</f>
        <v>4551</v>
      </c>
      <c r="AO42" s="2">
        <f>1600+2976</f>
        <v>4576</v>
      </c>
      <c r="AP42" s="2">
        <f>1691+2966</f>
        <v>4657</v>
      </c>
      <c r="AQ42" s="2">
        <f>1889+3156</f>
        <v>5045</v>
      </c>
      <c r="AR42" s="60">
        <f>2080+3336</f>
        <v>5416</v>
      </c>
      <c r="AS42" s="60">
        <f>2106+3420</f>
        <v>5526</v>
      </c>
      <c r="AT42" s="60">
        <v>5565</v>
      </c>
      <c r="AU42" s="60">
        <f>6171-0</f>
        <v>6171</v>
      </c>
      <c r="AV42" s="2">
        <v>6612</v>
      </c>
      <c r="AW42" s="2">
        <v>6696</v>
      </c>
      <c r="AX42" s="2">
        <v>6772</v>
      </c>
      <c r="AY42" s="2">
        <v>6870</v>
      </c>
      <c r="AZ42" s="61">
        <v>277</v>
      </c>
      <c r="BA42" s="61">
        <v>291</v>
      </c>
      <c r="BB42" s="58">
        <v>6933</v>
      </c>
      <c r="BC42" s="61">
        <v>318</v>
      </c>
      <c r="BD42" s="114">
        <v>375</v>
      </c>
      <c r="BE42" s="2">
        <f>pivot!C34</f>
        <v>448</v>
      </c>
    </row>
    <row r="43" spans="1:57" ht="12.75" customHeight="1">
      <c r="A43" s="52" t="str">
        <f>pivot!A35</f>
        <v>STLCC FV</v>
      </c>
      <c r="B43" s="53">
        <v>0.1967619362299686</v>
      </c>
      <c r="C43" s="54">
        <v>0.36723333834812699</v>
      </c>
      <c r="D43" s="54">
        <v>0.3859441901668389</v>
      </c>
      <c r="E43" s="55">
        <v>0.4081940051212532</v>
      </c>
      <c r="F43" s="54">
        <v>0.42169059011164273</v>
      </c>
      <c r="G43" s="54">
        <v>0.46699074800062723</v>
      </c>
      <c r="H43" s="54">
        <f t="shared" si="6"/>
        <v>0.44464261215530249</v>
      </c>
      <c r="I43" s="56">
        <f t="shared" si="7"/>
        <v>0.4845360824742268</v>
      </c>
      <c r="J43" s="56">
        <f t="shared" si="4"/>
        <v>0.4553624042427814</v>
      </c>
      <c r="K43" s="56">
        <f t="shared" si="8"/>
        <v>0.48237851265331472</v>
      </c>
      <c r="L43" s="56">
        <v>0.49</v>
      </c>
      <c r="M43" s="56">
        <v>0.51902782219379595</v>
      </c>
      <c r="N43" s="56">
        <v>0.52364138778016578</v>
      </c>
      <c r="O43" s="56">
        <v>0.54715672676837723</v>
      </c>
      <c r="P43" s="56">
        <f>pivot!B35</f>
        <v>0.60610543302850994</v>
      </c>
      <c r="Q43" s="57">
        <v>2382</v>
      </c>
      <c r="R43" s="58">
        <f>772+1669</f>
        <v>2441</v>
      </c>
      <c r="S43" s="58">
        <f>824+1790</f>
        <v>2614</v>
      </c>
      <c r="T43" s="59">
        <f>828+1882</f>
        <v>2710</v>
      </c>
      <c r="U43" s="58">
        <v>2644</v>
      </c>
      <c r="V43" s="58">
        <f>878+2100</f>
        <v>2978</v>
      </c>
      <c r="W43" s="58">
        <f>890+2351</f>
        <v>3241</v>
      </c>
      <c r="X43" s="58">
        <f>847+2349</f>
        <v>3196</v>
      </c>
      <c r="Y43" s="58">
        <f>803+2288</f>
        <v>3091</v>
      </c>
      <c r="Z43" s="58">
        <f>850+2257</f>
        <v>3107</v>
      </c>
      <c r="AA43" s="2">
        <v>12106</v>
      </c>
      <c r="AB43" s="2">
        <v>12069</v>
      </c>
      <c r="AC43" s="2">
        <v>12884</v>
      </c>
      <c r="AD43" s="2">
        <v>11628</v>
      </c>
      <c r="AE43" s="2">
        <v>10888</v>
      </c>
      <c r="AF43" s="2">
        <v>10383</v>
      </c>
      <c r="AG43" s="2">
        <v>10193</v>
      </c>
      <c r="AH43" s="2">
        <v>10294</v>
      </c>
      <c r="AI43" s="2">
        <v>10816</v>
      </c>
      <c r="AJ43" s="2">
        <f>4346+6273</f>
        <v>10619</v>
      </c>
      <c r="AK43" s="2">
        <f>4126+6107</f>
        <v>10233</v>
      </c>
      <c r="AL43" s="2">
        <f>3759+5916</f>
        <v>9675</v>
      </c>
      <c r="AM43" s="2">
        <f>3568+5732</f>
        <v>9300</v>
      </c>
      <c r="AN43" s="2">
        <f>(3300+5190)-(199+278)</f>
        <v>8013</v>
      </c>
      <c r="AO43" s="2">
        <v>7479</v>
      </c>
      <c r="AP43" s="2">
        <f>(2709+4675)-(158+246)</f>
        <v>6980</v>
      </c>
      <c r="AQ43" s="2">
        <f>(2703+4347)-(158+245)</f>
        <v>6647</v>
      </c>
      <c r="AR43" s="60">
        <f>(2759+4362)-(159+189)</f>
        <v>6773</v>
      </c>
      <c r="AS43" s="60">
        <f>7045-169-237</f>
        <v>6639</v>
      </c>
      <c r="AT43" s="60">
        <v>6270</v>
      </c>
      <c r="AU43" s="60">
        <f>6924-298-249</f>
        <v>6377</v>
      </c>
      <c r="AV43" s="2">
        <v>7289</v>
      </c>
      <c r="AW43" s="2">
        <f>7136-316-224</f>
        <v>6596</v>
      </c>
      <c r="AX43" s="2">
        <v>6788</v>
      </c>
      <c r="AY43" s="2">
        <v>6441</v>
      </c>
      <c r="AZ43" s="61">
        <v>3073</v>
      </c>
      <c r="BA43" s="61">
        <v>3246</v>
      </c>
      <c r="BB43" s="58">
        <v>6254</v>
      </c>
      <c r="BC43" s="61">
        <v>3411</v>
      </c>
      <c r="BD43" s="114">
        <v>3945</v>
      </c>
      <c r="BE43" s="2">
        <f>pivot!C35</f>
        <v>4507</v>
      </c>
    </row>
    <row r="44" spans="1:57" ht="12.75" customHeight="1">
      <c r="A44" s="52" t="str">
        <f>pivot!A36</f>
        <v>STLCC FP</v>
      </c>
      <c r="B44" s="53">
        <v>0.46259020129130268</v>
      </c>
      <c r="C44" s="54">
        <v>0.4419682652879301</v>
      </c>
      <c r="D44" s="54">
        <v>0.45434543454345433</v>
      </c>
      <c r="E44" s="55">
        <v>0.45022142037067409</v>
      </c>
      <c r="F44" s="54">
        <v>0.45577905491698595</v>
      </c>
      <c r="G44" s="54">
        <v>0.46424030514939607</v>
      </c>
      <c r="H44" s="54">
        <f t="shared" si="6"/>
        <v>0.41852825229960577</v>
      </c>
      <c r="I44" s="56">
        <f t="shared" si="7"/>
        <v>0.46295207291972951</v>
      </c>
      <c r="J44" s="56">
        <f t="shared" si="4"/>
        <v>0.43004029456718079</v>
      </c>
      <c r="K44" s="56">
        <f t="shared" si="8"/>
        <v>0.44323804288070368</v>
      </c>
      <c r="L44" s="56">
        <v>0.43</v>
      </c>
      <c r="M44" s="56">
        <v>0.45318766422348222</v>
      </c>
      <c r="N44" s="56">
        <v>0.46481429768221166</v>
      </c>
      <c r="O44" s="56">
        <v>0.47374192762276107</v>
      </c>
      <c r="P44" s="56">
        <f>pivot!B36</f>
        <v>0.52271684258834328</v>
      </c>
      <c r="Q44" s="57">
        <v>3654</v>
      </c>
      <c r="R44" s="58">
        <f>741+1738</f>
        <v>2479</v>
      </c>
      <c r="S44" s="58">
        <f>727+1751</f>
        <v>2478</v>
      </c>
      <c r="T44" s="59">
        <f>774+1971</f>
        <v>2745</v>
      </c>
      <c r="U44" s="58">
        <v>2855</v>
      </c>
      <c r="V44" s="58">
        <f>820+2101</f>
        <v>2921</v>
      </c>
      <c r="W44" s="58">
        <f>900+2285</f>
        <v>3185</v>
      </c>
      <c r="X44" s="58">
        <f>882+2267</f>
        <v>3149</v>
      </c>
      <c r="Y44" s="58">
        <f>833+2262</f>
        <v>3095</v>
      </c>
      <c r="Z44" s="58">
        <f>871+2354</f>
        <v>3225</v>
      </c>
      <c r="AA44" s="2">
        <v>7899</v>
      </c>
      <c r="AB44" s="2">
        <v>7989</v>
      </c>
      <c r="AC44" s="2">
        <v>8801</v>
      </c>
      <c r="AD44" s="2">
        <v>7351</v>
      </c>
      <c r="AE44" s="2">
        <v>6773</v>
      </c>
      <c r="AF44" s="2">
        <v>6137</v>
      </c>
      <c r="AG44" s="2">
        <v>6110</v>
      </c>
      <c r="AH44" s="2">
        <v>6199</v>
      </c>
      <c r="AI44" s="2">
        <v>6602</v>
      </c>
      <c r="AJ44" s="2">
        <f>2933+4209</f>
        <v>7142</v>
      </c>
      <c r="AK44" s="2">
        <f>2940+4529</f>
        <v>7469</v>
      </c>
      <c r="AL44" s="2">
        <f>2926+4638</f>
        <v>7564</v>
      </c>
      <c r="AM44" s="2">
        <f>2690+4408</f>
        <v>7098</v>
      </c>
      <c r="AN44" s="2">
        <f>(2593+4203)-(178+285)</f>
        <v>6333</v>
      </c>
      <c r="AO44" s="2">
        <v>5989</v>
      </c>
      <c r="AP44" s="2">
        <f>(2514+3761)-(231+284)</f>
        <v>5760</v>
      </c>
      <c r="AQ44" s="2">
        <f>(2430+3642)-(463)</f>
        <v>5609</v>
      </c>
      <c r="AR44" s="60">
        <f>5872-196-222</f>
        <v>5454</v>
      </c>
      <c r="AS44" s="60">
        <f>6456-161-198</f>
        <v>6097</v>
      </c>
      <c r="AT44" s="60">
        <v>6264</v>
      </c>
      <c r="AU44" s="60">
        <f>6930-351-287</f>
        <v>6292</v>
      </c>
      <c r="AV44" s="2">
        <v>7610</v>
      </c>
      <c r="AW44" s="2">
        <f>7576-440-334</f>
        <v>6802</v>
      </c>
      <c r="AX44" s="2">
        <v>7197</v>
      </c>
      <c r="AY44" s="2">
        <v>7276</v>
      </c>
      <c r="AZ44" s="61">
        <v>3359</v>
      </c>
      <c r="BA44" s="61">
        <v>3277</v>
      </c>
      <c r="BB44" s="58">
        <v>7231</v>
      </c>
      <c r="BC44" s="61">
        <v>3329</v>
      </c>
      <c r="BD44" s="114">
        <v>3888</v>
      </c>
      <c r="BE44" s="2">
        <f>pivot!C36</f>
        <v>4556</v>
      </c>
    </row>
    <row r="45" spans="1:57" ht="12.75" customHeight="1">
      <c r="A45" s="52" t="str">
        <f>pivot!A37</f>
        <v>STLCC MC</v>
      </c>
      <c r="B45" s="53">
        <v>2.6244119831641495E-2</v>
      </c>
      <c r="C45" s="54">
        <v>3.0792917628945343E-2</v>
      </c>
      <c r="D45" s="54">
        <v>3.2345931222335714E-2</v>
      </c>
      <c r="E45" s="55">
        <v>3.7269613439895613E-2</v>
      </c>
      <c r="F45" s="54">
        <v>3.6941135853616434E-2</v>
      </c>
      <c r="G45" s="54">
        <v>3.7380699893955462E-2</v>
      </c>
      <c r="H45" s="54">
        <f t="shared" si="6"/>
        <v>3.5535813436979459E-2</v>
      </c>
      <c r="I45" s="56">
        <f t="shared" si="7"/>
        <v>4.0305291141411542E-2</v>
      </c>
      <c r="J45" s="56">
        <f t="shared" si="4"/>
        <v>3.5313531353135315E-2</v>
      </c>
      <c r="K45" s="56">
        <f t="shared" si="8"/>
        <v>4.2029110326414605E-2</v>
      </c>
      <c r="L45" s="56">
        <v>4.8679605472478522E-2</v>
      </c>
      <c r="M45" s="56">
        <v>4.9360865290068827E-2</v>
      </c>
      <c r="N45" s="56">
        <v>5.9555294348124205E-2</v>
      </c>
      <c r="O45" s="56">
        <v>7.3484713034149829E-2</v>
      </c>
      <c r="P45" s="56">
        <f>pivot!B37</f>
        <v>8.9501312335958011E-2</v>
      </c>
      <c r="Q45" s="57">
        <v>318</v>
      </c>
      <c r="R45" s="58">
        <f>157+203</f>
        <v>360</v>
      </c>
      <c r="S45" s="58">
        <f>164+216</f>
        <v>380</v>
      </c>
      <c r="T45" s="59">
        <f>182+275</f>
        <v>457</v>
      </c>
      <c r="U45" s="58">
        <v>428</v>
      </c>
      <c r="V45" s="58">
        <f>277+146</f>
        <v>423</v>
      </c>
      <c r="W45" s="58">
        <f>169+279</f>
        <v>448</v>
      </c>
      <c r="X45" s="58">
        <f>174+296</f>
        <v>470</v>
      </c>
      <c r="Y45" s="58">
        <f>155+273</f>
        <v>428</v>
      </c>
      <c r="Z45" s="58">
        <f>174+314</f>
        <v>488</v>
      </c>
      <c r="AA45" s="2">
        <v>12117</v>
      </c>
      <c r="AB45" s="2">
        <v>12308</v>
      </c>
      <c r="AC45" s="2">
        <v>13579</v>
      </c>
      <c r="AD45" s="2">
        <v>12649</v>
      </c>
      <c r="AE45" s="2">
        <v>12238</v>
      </c>
      <c r="AF45" s="2">
        <v>12100</v>
      </c>
      <c r="AG45" s="2">
        <v>12892</v>
      </c>
      <c r="AH45" s="2">
        <v>13728</v>
      </c>
      <c r="AI45" s="2">
        <v>14429</v>
      </c>
      <c r="AJ45" s="2">
        <f>5912+8676</f>
        <v>14588</v>
      </c>
      <c r="AK45" s="2">
        <f>6138+8729</f>
        <v>14867</v>
      </c>
      <c r="AL45" s="2">
        <f>5922+8842</f>
        <v>14764</v>
      </c>
      <c r="AM45" s="2">
        <f>5612+8392</f>
        <v>14004</v>
      </c>
      <c r="AN45" s="2">
        <f>(5514+8202)-(474+661)</f>
        <v>12581</v>
      </c>
      <c r="AO45" s="2">
        <v>12100</v>
      </c>
      <c r="AP45" s="2">
        <f>(5362+7436)-(455+539)</f>
        <v>11804</v>
      </c>
      <c r="AQ45" s="2">
        <f>(5382+7274)-(448+517)</f>
        <v>11691</v>
      </c>
      <c r="AR45" s="60">
        <f>12713-454-511</f>
        <v>11748</v>
      </c>
      <c r="AS45" s="60">
        <f>13248-485-501</f>
        <v>12262</v>
      </c>
      <c r="AT45" s="60">
        <v>11586</v>
      </c>
      <c r="AU45" s="60">
        <f>12296-544-436</f>
        <v>11316</v>
      </c>
      <c r="AV45" s="2">
        <v>12607</v>
      </c>
      <c r="AW45" s="2">
        <f>12716-565-490</f>
        <v>11661</v>
      </c>
      <c r="AX45" s="2">
        <v>12120</v>
      </c>
      <c r="AY45" s="2">
        <v>11611</v>
      </c>
      <c r="AZ45" s="61">
        <v>476</v>
      </c>
      <c r="BA45" s="61">
        <v>502</v>
      </c>
      <c r="BB45" s="58">
        <v>10170</v>
      </c>
      <c r="BC45" s="61">
        <v>608</v>
      </c>
      <c r="BD45" s="114">
        <v>822</v>
      </c>
      <c r="BE45" s="2">
        <f>pivot!C37</f>
        <v>1023</v>
      </c>
    </row>
    <row r="46" spans="1:57" ht="12.75" customHeight="1">
      <c r="A46" s="52" t="str">
        <f>pivot!A38</f>
        <v>STLCC WW</v>
      </c>
      <c r="B46" s="79" t="s">
        <v>31</v>
      </c>
      <c r="C46" s="70" t="s">
        <v>31</v>
      </c>
      <c r="D46" s="70" t="s">
        <v>31</v>
      </c>
      <c r="E46" s="70" t="s">
        <v>31</v>
      </c>
      <c r="F46" s="70" t="s">
        <v>31</v>
      </c>
      <c r="G46" s="70" t="s">
        <v>31</v>
      </c>
      <c r="H46" s="70" t="s">
        <v>31</v>
      </c>
      <c r="I46" s="70" t="s">
        <v>31</v>
      </c>
      <c r="J46" s="70" t="s">
        <v>31</v>
      </c>
      <c r="K46" s="70" t="s">
        <v>31</v>
      </c>
      <c r="L46" s="70" t="s">
        <v>31</v>
      </c>
      <c r="M46" s="70" t="s">
        <v>31</v>
      </c>
      <c r="N46" s="70" t="s">
        <v>31</v>
      </c>
      <c r="O46" s="124">
        <v>2.2127052105638829E-2</v>
      </c>
      <c r="P46" s="125">
        <f>pivot!B38</f>
        <v>3.3333333333333333E-2</v>
      </c>
      <c r="Q46" s="80" t="s">
        <v>31</v>
      </c>
      <c r="R46" s="70" t="s">
        <v>31</v>
      </c>
      <c r="S46" s="70" t="s">
        <v>31</v>
      </c>
      <c r="T46" s="70" t="s">
        <v>31</v>
      </c>
      <c r="U46" s="70" t="s">
        <v>31</v>
      </c>
      <c r="V46" s="70" t="s">
        <v>31</v>
      </c>
      <c r="W46" s="70" t="s">
        <v>31</v>
      </c>
      <c r="X46" s="70" t="s">
        <v>31</v>
      </c>
      <c r="Y46" s="70" t="s">
        <v>31</v>
      </c>
      <c r="Z46" s="70" t="s">
        <v>31</v>
      </c>
      <c r="AA46" s="70" t="s">
        <v>31</v>
      </c>
      <c r="AB46" s="70" t="s">
        <v>31</v>
      </c>
      <c r="AC46" s="70" t="s">
        <v>31</v>
      </c>
      <c r="AD46" s="70" t="s">
        <v>31</v>
      </c>
      <c r="AE46" s="70" t="s">
        <v>31</v>
      </c>
      <c r="AF46" s="70" t="s">
        <v>31</v>
      </c>
      <c r="AG46" s="70" t="s">
        <v>31</v>
      </c>
      <c r="AH46" s="70" t="s">
        <v>31</v>
      </c>
      <c r="AI46" s="70" t="s">
        <v>31</v>
      </c>
      <c r="AJ46" s="70" t="s">
        <v>31</v>
      </c>
      <c r="AK46" s="70" t="s">
        <v>31</v>
      </c>
      <c r="AL46" s="70" t="s">
        <v>31</v>
      </c>
      <c r="AM46" s="70" t="s">
        <v>31</v>
      </c>
      <c r="AN46" s="70" t="s">
        <v>31</v>
      </c>
      <c r="AO46" s="70" t="s">
        <v>31</v>
      </c>
      <c r="AP46" s="70" t="s">
        <v>31</v>
      </c>
      <c r="AQ46" s="70" t="s">
        <v>31</v>
      </c>
      <c r="AR46" s="70" t="s">
        <v>31</v>
      </c>
      <c r="AS46" s="70" t="s">
        <v>31</v>
      </c>
      <c r="AT46" s="70" t="s">
        <v>31</v>
      </c>
      <c r="AU46" s="70" t="s">
        <v>31</v>
      </c>
      <c r="AV46" s="70" t="s">
        <v>31</v>
      </c>
      <c r="AW46" s="70" t="s">
        <v>31</v>
      </c>
      <c r="AX46" s="70" t="s">
        <v>31</v>
      </c>
      <c r="AY46" s="70" t="s">
        <v>31</v>
      </c>
      <c r="AZ46" s="70" t="s">
        <v>31</v>
      </c>
      <c r="BA46" s="61">
        <v>22</v>
      </c>
      <c r="BB46" s="58">
        <v>910</v>
      </c>
      <c r="BC46" s="61">
        <v>29</v>
      </c>
      <c r="BD46" s="114">
        <v>31</v>
      </c>
      <c r="BE46" s="2">
        <f>pivot!C38</f>
        <v>51</v>
      </c>
    </row>
    <row r="47" spans="1:57" ht="12.75" customHeight="1">
      <c r="A47" s="52" t="str">
        <f>pivot!A39</f>
        <v>STATE FAIR</v>
      </c>
      <c r="B47" s="53">
        <v>2.8967254408060455E-2</v>
      </c>
      <c r="C47" s="54">
        <v>3.8618809631985461E-2</v>
      </c>
      <c r="D47" s="54">
        <v>4.0417209908735333E-2</v>
      </c>
      <c r="E47" s="55">
        <v>4.810126582278481E-2</v>
      </c>
      <c r="F47" s="54">
        <v>5.8322824716267339E-2</v>
      </c>
      <c r="G47" s="54">
        <v>5.1599275799637898E-2</v>
      </c>
      <c r="H47" s="54">
        <f>+W47/AV47</f>
        <v>5.1367781155015196E-2</v>
      </c>
      <c r="I47" s="56">
        <f>+X47/AW47</f>
        <v>5.5373623102113724E-2</v>
      </c>
      <c r="J47" s="56">
        <f>+Y47/AX47</f>
        <v>5.0293925538863485E-2</v>
      </c>
      <c r="K47" s="56">
        <f>+Z47/AY47</f>
        <v>5.4526748971193417E-2</v>
      </c>
      <c r="L47" s="56">
        <v>4.0473407364114554E-2</v>
      </c>
      <c r="M47" s="56">
        <v>4.2805100182149364E-2</v>
      </c>
      <c r="N47" s="56">
        <v>4.590818363273453E-2</v>
      </c>
      <c r="O47" s="56">
        <v>4.5742434904996479E-2</v>
      </c>
      <c r="P47" s="56">
        <f>pivot!B39</f>
        <v>3.6491810076715737E-2</v>
      </c>
      <c r="Q47" s="57">
        <v>46</v>
      </c>
      <c r="R47" s="58">
        <f>47+38</f>
        <v>85</v>
      </c>
      <c r="S47" s="58">
        <f>48+45</f>
        <v>93</v>
      </c>
      <c r="T47" s="59">
        <f>84+49</f>
        <v>133</v>
      </c>
      <c r="U47" s="58">
        <v>185</v>
      </c>
      <c r="V47" s="58">
        <f>100+71</f>
        <v>171</v>
      </c>
      <c r="W47" s="58">
        <f>83+86</f>
        <v>169</v>
      </c>
      <c r="X47" s="58">
        <f>97+89</f>
        <v>186</v>
      </c>
      <c r="Y47" s="58">
        <f>74+80</f>
        <v>154</v>
      </c>
      <c r="Z47" s="58">
        <f>89+70</f>
        <v>159</v>
      </c>
      <c r="AA47" s="2">
        <v>1588</v>
      </c>
      <c r="AB47" s="2">
        <v>1574</v>
      </c>
      <c r="AC47" s="2">
        <v>1418</v>
      </c>
      <c r="AD47" s="2">
        <v>1615</v>
      </c>
      <c r="AE47" s="2">
        <v>1559</v>
      </c>
      <c r="AF47" s="2">
        <v>1508</v>
      </c>
      <c r="AG47" s="2">
        <v>1572</v>
      </c>
      <c r="AH47" s="2">
        <v>1750</v>
      </c>
      <c r="AI47" s="2">
        <v>2224</v>
      </c>
      <c r="AJ47" s="2">
        <f>936+1433</f>
        <v>2369</v>
      </c>
      <c r="AK47" s="2">
        <f>1058+1363</f>
        <v>2421</v>
      </c>
      <c r="AL47" s="2">
        <f>950+1466</f>
        <v>2416</v>
      </c>
      <c r="AM47" s="2">
        <f>1007+1478</f>
        <v>2485</v>
      </c>
      <c r="AN47" s="2">
        <f>976+1406</f>
        <v>2382</v>
      </c>
      <c r="AO47" s="2">
        <f>938+1136</f>
        <v>2074</v>
      </c>
      <c r="AP47" s="2">
        <f>2113-12</f>
        <v>2101</v>
      </c>
      <c r="AQ47" s="2">
        <f>(1025+1192)-16</f>
        <v>2201</v>
      </c>
      <c r="AR47" s="60">
        <f>2309-8</f>
        <v>2301</v>
      </c>
      <c r="AS47" s="60">
        <f>2790-25</f>
        <v>2765</v>
      </c>
      <c r="AT47" s="60">
        <v>3172</v>
      </c>
      <c r="AU47" s="60">
        <f>3355-13-28</f>
        <v>3314</v>
      </c>
      <c r="AV47" s="2">
        <v>3290</v>
      </c>
      <c r="AW47" s="2">
        <f>3391-12-20</f>
        <v>3359</v>
      </c>
      <c r="AX47" s="2">
        <v>3062</v>
      </c>
      <c r="AY47" s="2">
        <v>2916</v>
      </c>
      <c r="AZ47" s="61">
        <v>153</v>
      </c>
      <c r="BA47" s="61">
        <v>141</v>
      </c>
      <c r="BB47" s="58">
        <v>3294</v>
      </c>
      <c r="BC47" s="61">
        <v>161</v>
      </c>
      <c r="BD47" s="114">
        <v>195</v>
      </c>
      <c r="BE47" s="2">
        <f>pivot!C39</f>
        <v>176</v>
      </c>
    </row>
    <row r="48" spans="1:57" ht="12.75" customHeight="1">
      <c r="A48" s="52" t="str">
        <f>pivot!A40</f>
        <v>THREE RIVERS</v>
      </c>
      <c r="B48" s="53">
        <v>2.9065200314218383E-2</v>
      </c>
      <c r="C48" s="54">
        <v>3.3582089552238806E-2</v>
      </c>
      <c r="D48" s="54">
        <v>3.0237580993520519E-2</v>
      </c>
      <c r="E48" s="55">
        <v>4.1241162608012569E-2</v>
      </c>
      <c r="F48" s="54">
        <v>4.748260335652886E-2</v>
      </c>
      <c r="G48" s="54">
        <v>5.5311355311355309E-2</v>
      </c>
      <c r="H48" s="54">
        <f t="shared" si="6"/>
        <v>6.4459316660796059E-2</v>
      </c>
      <c r="I48" s="56">
        <f t="shared" si="7"/>
        <v>7.9474342928660832E-2</v>
      </c>
      <c r="J48" s="56">
        <f t="shared" si="4"/>
        <v>8.0659945004582956E-2</v>
      </c>
      <c r="K48" s="56">
        <f t="shared" si="8"/>
        <v>7.8364565587734247E-2</v>
      </c>
      <c r="L48" s="56">
        <v>7.0093457943925228E-2</v>
      </c>
      <c r="M48" s="56">
        <v>6.9387755102040816E-2</v>
      </c>
      <c r="N48" s="56">
        <v>8.3815028901734104E-2</v>
      </c>
      <c r="O48" s="56">
        <v>8.9878083356960584E-2</v>
      </c>
      <c r="P48" s="56">
        <f>pivot!B40</f>
        <v>0.10697050938337802</v>
      </c>
      <c r="Q48" s="57">
        <v>37</v>
      </c>
      <c r="R48" s="58">
        <f>29+52</f>
        <v>81</v>
      </c>
      <c r="S48" s="58">
        <f>23+47</f>
        <v>70</v>
      </c>
      <c r="T48" s="59">
        <v>105</v>
      </c>
      <c r="U48" s="58">
        <v>116</v>
      </c>
      <c r="V48" s="58">
        <f>36+115</f>
        <v>151</v>
      </c>
      <c r="W48" s="58">
        <f>37+146</f>
        <v>183</v>
      </c>
      <c r="X48" s="58">
        <f>48+206</f>
        <v>254</v>
      </c>
      <c r="Y48" s="58">
        <f>57+207</f>
        <v>264</v>
      </c>
      <c r="Z48" s="58">
        <f>70+160</f>
        <v>230</v>
      </c>
      <c r="AA48" s="2">
        <v>1273</v>
      </c>
      <c r="AB48" s="2">
        <v>1389</v>
      </c>
      <c r="AC48" s="2">
        <v>1537</v>
      </c>
      <c r="AD48" s="2">
        <v>1313</v>
      </c>
      <c r="AE48" s="2">
        <v>1529</v>
      </c>
      <c r="AF48" s="2">
        <v>1679</v>
      </c>
      <c r="AG48" s="2">
        <v>1613</v>
      </c>
      <c r="AH48" s="2">
        <v>1776</v>
      </c>
      <c r="AI48" s="2">
        <v>1932</v>
      </c>
      <c r="AJ48" s="2">
        <f>640+1422</f>
        <v>2062</v>
      </c>
      <c r="AK48" s="2">
        <f>768+1568</f>
        <v>2336</v>
      </c>
      <c r="AL48" s="2">
        <f>828+1663</f>
        <v>2491</v>
      </c>
      <c r="AM48" s="2">
        <f>894+1650</f>
        <v>2544</v>
      </c>
      <c r="AN48" s="2">
        <f>842+1563</f>
        <v>2405</v>
      </c>
      <c r="AO48" s="2">
        <f>787+1516</f>
        <v>2303</v>
      </c>
      <c r="AP48" s="2">
        <f>800+1549</f>
        <v>2349</v>
      </c>
      <c r="AQ48" s="2">
        <f>843+1569</f>
        <v>2412</v>
      </c>
      <c r="AR48" s="60">
        <f>789+1526</f>
        <v>2315</v>
      </c>
      <c r="AS48" s="60">
        <f>880+1666</f>
        <v>2546</v>
      </c>
      <c r="AT48" s="60">
        <v>2443</v>
      </c>
      <c r="AU48" s="60">
        <f>2812-45-37</f>
        <v>2730</v>
      </c>
      <c r="AV48" s="2">
        <v>2839</v>
      </c>
      <c r="AW48" s="2">
        <f>3213-9-8</f>
        <v>3196</v>
      </c>
      <c r="AX48" s="2">
        <v>3273</v>
      </c>
      <c r="AY48" s="2">
        <v>2935</v>
      </c>
      <c r="AZ48" s="61">
        <v>210</v>
      </c>
      <c r="BA48" s="61">
        <v>221</v>
      </c>
      <c r="BB48" s="58">
        <v>3185</v>
      </c>
      <c r="BC48" s="61">
        <v>261</v>
      </c>
      <c r="BD48" s="114">
        <v>317</v>
      </c>
      <c r="BE48" s="2">
        <f>pivot!C40</f>
        <v>399</v>
      </c>
    </row>
    <row r="49" spans="1:57" ht="12.75" customHeight="1">
      <c r="A49" s="60" t="s">
        <v>24</v>
      </c>
      <c r="B49" s="53">
        <v>0.15569898427090723</v>
      </c>
      <c r="C49" s="54">
        <v>0.11233924226624957</v>
      </c>
      <c r="D49" s="54">
        <v>0.11754905843313442</v>
      </c>
      <c r="E49" s="55">
        <v>0.11992521018292125</v>
      </c>
      <c r="F49" s="54">
        <v>0.11947462468533566</v>
      </c>
      <c r="G49" s="54">
        <v>0.11873165592153125</v>
      </c>
      <c r="H49" s="54">
        <f t="shared" si="6"/>
        <v>0.1198940035640723</v>
      </c>
      <c r="I49" s="56">
        <f t="shared" si="7"/>
        <v>0.12380303454317593</v>
      </c>
      <c r="J49" s="56">
        <f t="shared" si="4"/>
        <v>0.11516564047262903</v>
      </c>
      <c r="K49" s="56">
        <f t="shared" si="8"/>
        <v>0.1167600470360379</v>
      </c>
      <c r="L49" s="56">
        <v>0.11882312058380633</v>
      </c>
      <c r="M49" s="56">
        <v>0.11756924904996245</v>
      </c>
      <c r="N49" s="56">
        <v>0.12430215951876054</v>
      </c>
      <c r="O49" s="56">
        <v>0.13029896512073591</v>
      </c>
      <c r="P49" s="56">
        <f>pivot!G7</f>
        <v>0.14203608062549314</v>
      </c>
      <c r="Q49" s="57">
        <f>SUM(Q28:Q48)</f>
        <v>8780</v>
      </c>
      <c r="R49" s="64">
        <f>SUM(R28:R48)</f>
        <v>8080</v>
      </c>
      <c r="S49" s="64">
        <f>SUM(S28:S48)</f>
        <v>8608</v>
      </c>
      <c r="T49" s="65">
        <f>SUM(T28:T48)</f>
        <v>9172</v>
      </c>
      <c r="U49" s="64">
        <f>SUM(U28:U48)</f>
        <v>9160</v>
      </c>
      <c r="V49" s="64">
        <f>SUM(V28:V48)</f>
        <v>9466</v>
      </c>
      <c r="W49" s="64">
        <f>SUM(W28:W48)</f>
        <v>10361</v>
      </c>
      <c r="X49" s="64">
        <f>SUM(X28:X48)</f>
        <v>10175</v>
      </c>
      <c r="Y49" s="64">
        <f>SUM(Y28:Y48)</f>
        <v>9932</v>
      </c>
      <c r="Z49" s="64">
        <f>SUM(Z28:Z48)</f>
        <v>10128</v>
      </c>
      <c r="AA49" s="64">
        <f>SUM(AA28:AA48)</f>
        <v>57394</v>
      </c>
      <c r="AB49" s="64">
        <f>SUM(AB28:AB48)</f>
        <v>59519</v>
      </c>
      <c r="AC49" s="64">
        <f>SUM(AC28:AC48)</f>
        <v>63243</v>
      </c>
      <c r="AD49" s="64">
        <f>SUM(AD28:AD48)</f>
        <v>58590</v>
      </c>
      <c r="AE49" s="64">
        <f>SUM(AE28:AE48)</f>
        <v>56866</v>
      </c>
      <c r="AF49" s="64">
        <f>SUM(AF28:AF48)</f>
        <v>58260</v>
      </c>
      <c r="AG49" s="64">
        <f>SUM(AG28:AG48)</f>
        <v>61447</v>
      </c>
      <c r="AH49" s="64">
        <f>SUM(AH28:AH48)</f>
        <v>65113</v>
      </c>
      <c r="AI49" s="64">
        <f>SUM(AI28:AI48)</f>
        <v>71287</v>
      </c>
      <c r="AJ49" s="64">
        <f>SUM(AJ28:AJ48)</f>
        <v>74826</v>
      </c>
      <c r="AK49" s="64">
        <f>SUM(AK28:AK48)</f>
        <v>78207</v>
      </c>
      <c r="AL49" s="64">
        <f>SUM(AL28:AL48)</f>
        <v>80027</v>
      </c>
      <c r="AM49" s="64">
        <f>SUM(AM28:AM48)</f>
        <v>77816</v>
      </c>
      <c r="AN49" s="64">
        <f>SUM(AN28:AN48)</f>
        <v>71814</v>
      </c>
      <c r="AO49" s="64">
        <f>SUM(AO28:AO48)</f>
        <v>69451</v>
      </c>
      <c r="AP49" s="64">
        <f>SUM(AP28:AP48)</f>
        <v>70331</v>
      </c>
      <c r="AQ49" s="64">
        <f>SUM(AQ28:AQ48)</f>
        <v>71925</v>
      </c>
      <c r="AR49" s="64">
        <f>SUM(AR28:AR48)</f>
        <v>73229</v>
      </c>
      <c r="AS49" s="64">
        <f>SUM(AS28:AS48)</f>
        <v>76481</v>
      </c>
      <c r="AT49" s="64">
        <f>SUM(AT28:AT48)</f>
        <v>76669</v>
      </c>
      <c r="AU49" s="64">
        <f>SUM(AU28:AU48)</f>
        <v>79726</v>
      </c>
      <c r="AV49" s="64">
        <f>SUM(AV28:AV48)</f>
        <v>86418</v>
      </c>
      <c r="AW49" s="64">
        <f>SUM(AW28:AW48)</f>
        <v>82187</v>
      </c>
      <c r="AX49" s="64">
        <f>SUM(AX28:AX48)</f>
        <v>86241</v>
      </c>
      <c r="AY49" s="64">
        <f>SUM(AY28:AY48)</f>
        <v>86742</v>
      </c>
      <c r="AZ49" s="64">
        <f>SUM(AZ28:AZ48)</f>
        <v>10258</v>
      </c>
      <c r="BA49" s="64">
        <f>SUM(BA28:BA48)</f>
        <v>10488</v>
      </c>
      <c r="BB49" s="64">
        <f>SUM(BB28:BB48)</f>
        <v>89207</v>
      </c>
      <c r="BC49" s="64">
        <v>11489</v>
      </c>
      <c r="BD49" s="116">
        <f>SUM(BD28:BD48)</f>
        <v>13598</v>
      </c>
      <c r="BE49" s="116">
        <f>SUM(BE28:BE48)</f>
        <v>15841</v>
      </c>
    </row>
    <row r="50" spans="1:57" ht="12.75" customHeight="1">
      <c r="A50" s="60"/>
      <c r="B50" s="53"/>
      <c r="C50" s="54"/>
      <c r="D50" s="54"/>
      <c r="E50" s="55"/>
      <c r="F50" s="54"/>
      <c r="G50" s="54"/>
      <c r="H50" s="54"/>
      <c r="I50" s="56"/>
      <c r="J50" s="56"/>
      <c r="K50" s="56"/>
      <c r="L50" s="56"/>
      <c r="M50" s="56"/>
      <c r="N50" s="56"/>
      <c r="O50" s="56"/>
      <c r="P50" s="56"/>
      <c r="Q50" s="57"/>
      <c r="R50" s="58"/>
      <c r="S50" s="58"/>
      <c r="T50" s="59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/>
      <c r="AP50" s="58"/>
      <c r="AQ50" s="58"/>
      <c r="AR50" s="58"/>
      <c r="AS50" s="58"/>
      <c r="AT50" s="58"/>
      <c r="AU50" s="58"/>
      <c r="AV50" s="58"/>
      <c r="AW50" s="58"/>
      <c r="AX50" s="58"/>
    </row>
    <row r="51" spans="1:57" ht="12.75" customHeight="1" thickBot="1">
      <c r="A51" s="81" t="s">
        <v>35</v>
      </c>
      <c r="B51" s="82">
        <v>9.2050862452800725E-2</v>
      </c>
      <c r="C51" s="83">
        <v>8.8554337096591496E-2</v>
      </c>
      <c r="D51" s="83">
        <v>9.1912407830498227E-2</v>
      </c>
      <c r="E51" s="84">
        <v>9.0872129527652265E-2</v>
      </c>
      <c r="F51" s="83">
        <v>9.4479427329039675E-2</v>
      </c>
      <c r="G51" s="83">
        <v>9.4166654149831525E-2</v>
      </c>
      <c r="H51" s="83">
        <f t="shared" si="6"/>
        <v>9.4543605912065259E-2</v>
      </c>
      <c r="I51" s="83">
        <f t="shared" si="7"/>
        <v>0.10193831352574986</v>
      </c>
      <c r="J51" s="83">
        <f t="shared" si="4"/>
        <v>9.3866080042505393E-2</v>
      </c>
      <c r="K51" s="83">
        <f t="shared" si="8"/>
        <v>9.7615307594087874E-2</v>
      </c>
      <c r="L51" s="83">
        <v>9.8679482778349925E-2</v>
      </c>
      <c r="M51" s="110">
        <v>9.8818445870835867E-2</v>
      </c>
      <c r="N51" s="110">
        <v>0.10213913796193883</v>
      </c>
      <c r="O51" s="104">
        <v>0.10825921944227261</v>
      </c>
      <c r="P51" s="85">
        <f>pivot!G5</f>
        <v>0.11286550392590944</v>
      </c>
      <c r="Q51" s="86">
        <f>SUM(Q24+Q49)</f>
        <v>15701</v>
      </c>
      <c r="R51" s="87">
        <f>SUM(R24+R49)</f>
        <v>16417</v>
      </c>
      <c r="S51" s="87">
        <f>SUM(S24+S49)</f>
        <v>17339</v>
      </c>
      <c r="T51" s="88">
        <f>SUM(T24+T49)</f>
        <v>17657</v>
      </c>
      <c r="U51" s="87">
        <f>SUM(U24+U49)</f>
        <v>18425</v>
      </c>
      <c r="V51" s="87">
        <f>SUM(V24+V49)</f>
        <v>18808</v>
      </c>
      <c r="W51" s="87">
        <f>SUM(W24+W49)</f>
        <v>20271</v>
      </c>
      <c r="X51" s="87">
        <f>SUM(X24+X49)</f>
        <v>20174</v>
      </c>
      <c r="Y51" s="87">
        <f>SUM(Y24+Y49)</f>
        <v>20140</v>
      </c>
      <c r="Z51" s="87">
        <f>SUM(Z24+Z49)</f>
        <v>21253</v>
      </c>
      <c r="AA51" s="87">
        <f>SUM(AA24+AA49)</f>
        <v>172540</v>
      </c>
      <c r="AB51" s="87">
        <f>SUM(AB24+AB49)</f>
        <v>173556</v>
      </c>
      <c r="AC51" s="87">
        <f>SUM(AC24+AC49)</f>
        <v>176715</v>
      </c>
      <c r="AD51" s="87">
        <f>SUM(AD24+AD49)</f>
        <v>169762</v>
      </c>
      <c r="AE51" s="87">
        <f>SUM(AE24+AE49)</f>
        <v>167238</v>
      </c>
      <c r="AF51" s="87">
        <f>SUM(AF24+AF49)</f>
        <v>168943</v>
      </c>
      <c r="AG51" s="87">
        <f>SUM(AG24+AG49)</f>
        <v>173358</v>
      </c>
      <c r="AH51" s="87">
        <f>SUM(AH24+AH49)</f>
        <v>181534</v>
      </c>
      <c r="AI51" s="87">
        <f>SUM(AI24+AI49)</f>
        <v>192318</v>
      </c>
      <c r="AJ51" s="87">
        <f>SUM(AJ24+AJ49)</f>
        <v>200117</v>
      </c>
      <c r="AK51" s="87">
        <f>SUM(AK24+AK49)</f>
        <v>204344</v>
      </c>
      <c r="AL51" s="87">
        <f>SUM(AL24+AL49)</f>
        <v>202645</v>
      </c>
      <c r="AM51" s="87">
        <f>SUM(AM24+AM49)</f>
        <v>196934</v>
      </c>
      <c r="AN51" s="87">
        <f>SUM(AN24+AN49)</f>
        <v>186395</v>
      </c>
      <c r="AO51" s="87">
        <f>SUM(AO24+AO49)</f>
        <v>183648</v>
      </c>
      <c r="AP51" s="87">
        <f>SUM(AP24+AP49)</f>
        <v>184005</v>
      </c>
      <c r="AQ51" s="87">
        <f>SUM(AQ24+AQ49)</f>
        <v>185389</v>
      </c>
      <c r="AR51" s="87">
        <f>SUM(AR24+AR49)</f>
        <v>188647</v>
      </c>
      <c r="AS51" s="87">
        <f>SUM(AS24+AS49)</f>
        <v>194306</v>
      </c>
      <c r="AT51" s="87">
        <f>SUM(AT24+AT49)</f>
        <v>195016</v>
      </c>
      <c r="AU51" s="87">
        <f>SUM(AU24+AU49)</f>
        <v>199731</v>
      </c>
      <c r="AV51" s="87">
        <f>SUM(AV24+AV49)</f>
        <v>214409</v>
      </c>
      <c r="AW51" s="87">
        <f>SUM(AW24+AW49)</f>
        <v>197904</v>
      </c>
      <c r="AX51" s="87">
        <f>SUM(AX24+AX49)</f>
        <v>214561</v>
      </c>
      <c r="AY51" s="87">
        <f>SUM(AY24+AY49)</f>
        <v>217722</v>
      </c>
      <c r="AZ51" s="87">
        <f>SUM(AZ24+AZ49)</f>
        <v>21559</v>
      </c>
      <c r="BA51" s="87">
        <f>SUM(BA24+BA49)</f>
        <v>22046</v>
      </c>
      <c r="BB51" s="87">
        <f>SUM(BB24+BB49)</f>
        <v>223096</v>
      </c>
      <c r="BC51" s="87">
        <v>23363</v>
      </c>
      <c r="BD51" s="112">
        <f>SUM(BD49,BD24)</f>
        <v>26585</v>
      </c>
      <c r="BE51" s="112">
        <f>SUM(BE49,BE24)</f>
        <v>28907</v>
      </c>
    </row>
    <row r="52" spans="1:57" ht="12.75" customHeight="1" thickTop="1">
      <c r="A52" s="52" t="s">
        <v>36</v>
      </c>
      <c r="C52" s="89"/>
      <c r="D52" s="89"/>
      <c r="E52" s="89"/>
      <c r="F52" s="89"/>
      <c r="G52" s="89"/>
      <c r="H52" s="89"/>
      <c r="I52" s="90"/>
      <c r="J52" s="90"/>
      <c r="K52" s="90"/>
      <c r="L52" s="90"/>
      <c r="M52" s="90"/>
      <c r="N52" s="90"/>
      <c r="O52" s="90"/>
      <c r="P52" s="90"/>
    </row>
    <row r="53" spans="1:57" ht="12.75" customHeight="1">
      <c r="A53" s="1" t="s">
        <v>37</v>
      </c>
      <c r="C53" s="89"/>
      <c r="D53" s="89"/>
      <c r="E53" s="89"/>
      <c r="F53" s="89"/>
      <c r="G53" s="89"/>
      <c r="H53" s="89"/>
      <c r="I53" s="90"/>
      <c r="J53" s="90"/>
      <c r="K53" s="90"/>
      <c r="L53" s="90"/>
      <c r="M53" s="90"/>
      <c r="N53" s="90"/>
      <c r="O53" s="90"/>
      <c r="P53" s="90"/>
    </row>
    <row r="54" spans="1:57" ht="12.75" customHeight="1">
      <c r="A54" s="52" t="s">
        <v>38</v>
      </c>
      <c r="B54" s="89"/>
      <c r="C54" s="89"/>
      <c r="D54" s="89"/>
      <c r="E54" s="89"/>
      <c r="F54" s="89"/>
      <c r="G54" s="89"/>
      <c r="H54" s="89"/>
      <c r="I54" s="90"/>
      <c r="J54" s="90"/>
      <c r="K54" s="90"/>
      <c r="L54" s="90"/>
      <c r="M54" s="90"/>
      <c r="N54" s="90"/>
      <c r="O54" s="90"/>
      <c r="P54" s="90"/>
    </row>
    <row r="55" spans="1:57" ht="12.75" customHeight="1">
      <c r="A55" s="52"/>
      <c r="B55" s="89"/>
      <c r="C55" s="89"/>
      <c r="D55" s="89"/>
      <c r="E55" s="89"/>
      <c r="F55" s="89"/>
      <c r="G55" s="89"/>
      <c r="H55" s="89"/>
      <c r="I55" s="90"/>
      <c r="J55" s="90"/>
      <c r="K55" s="90"/>
      <c r="L55" s="90"/>
      <c r="M55" s="90"/>
      <c r="N55" s="90"/>
      <c r="O55" s="90"/>
      <c r="P55" s="90"/>
    </row>
    <row r="56" spans="1:57" ht="12.75" customHeight="1">
      <c r="A56" s="1" t="s">
        <v>63</v>
      </c>
      <c r="C56" s="89"/>
      <c r="D56" s="89"/>
      <c r="E56" s="89"/>
      <c r="F56" s="89"/>
      <c r="G56" s="89"/>
      <c r="H56" s="89"/>
      <c r="I56" s="90"/>
      <c r="J56" s="90"/>
      <c r="K56" s="90"/>
      <c r="L56" s="90"/>
      <c r="M56" s="90"/>
      <c r="N56" s="90"/>
      <c r="O56" s="90"/>
      <c r="P56" s="90"/>
    </row>
    <row r="57" spans="1:57" ht="12.75" customHeight="1">
      <c r="A57" s="1" t="s">
        <v>39</v>
      </c>
      <c r="C57" s="89"/>
      <c r="D57" s="89"/>
      <c r="E57" s="89"/>
      <c r="F57" s="89"/>
      <c r="G57" s="89"/>
      <c r="H57" s="89"/>
      <c r="I57" s="90"/>
      <c r="J57" s="90"/>
      <c r="K57" s="90"/>
      <c r="L57" s="90"/>
      <c r="M57" s="90"/>
      <c r="N57" s="90"/>
      <c r="O57" s="90"/>
      <c r="P57" s="90"/>
    </row>
    <row r="58" spans="1:57" ht="12.75" customHeight="1">
      <c r="A58" s="1" t="s">
        <v>122</v>
      </c>
      <c r="C58" s="89"/>
      <c r="D58" s="89"/>
      <c r="E58" s="89"/>
      <c r="F58" s="89"/>
      <c r="G58" s="89"/>
      <c r="H58" s="89"/>
      <c r="I58" s="90"/>
      <c r="J58" s="90"/>
      <c r="K58" s="90"/>
      <c r="L58" s="90"/>
      <c r="M58" s="90"/>
      <c r="N58" s="90"/>
      <c r="O58" s="90"/>
      <c r="P58" s="90"/>
    </row>
    <row r="59" spans="1:57" ht="12.75" customHeight="1" thickBot="1">
      <c r="A59" s="5"/>
      <c r="B59" s="5"/>
      <c r="C59" s="54"/>
      <c r="D59" s="54"/>
      <c r="E59" s="54"/>
      <c r="F59" s="54"/>
      <c r="G59" s="54"/>
      <c r="H59" s="54"/>
      <c r="I59" s="56"/>
      <c r="J59" s="56"/>
      <c r="K59" s="56"/>
      <c r="L59" s="56"/>
      <c r="M59" s="56"/>
      <c r="N59" s="56"/>
      <c r="O59" s="56"/>
      <c r="P59" s="56"/>
      <c r="Q59" s="5"/>
      <c r="R59" s="5"/>
      <c r="S59" s="5"/>
      <c r="T59" s="5"/>
      <c r="U59" s="5"/>
      <c r="V59" s="5"/>
      <c r="W59" s="5"/>
      <c r="X59" s="5"/>
      <c r="Y59" s="5"/>
      <c r="Z59" s="5"/>
      <c r="AY59" s="5"/>
      <c r="AZ59" s="5"/>
      <c r="BA59" s="5"/>
      <c r="BC59" s="5"/>
      <c r="BD59" s="5"/>
    </row>
    <row r="60" spans="1:57" ht="12.75" customHeight="1" thickTop="1">
      <c r="A60" s="8"/>
      <c r="B60" s="9" t="s">
        <v>1</v>
      </c>
      <c r="C60" s="10"/>
      <c r="D60" s="10"/>
      <c r="E60" s="10"/>
      <c r="F60" s="10"/>
      <c r="G60" s="10"/>
      <c r="H60" s="10"/>
      <c r="I60" s="11"/>
      <c r="J60" s="10"/>
      <c r="K60" s="11"/>
      <c r="L60" s="10"/>
      <c r="M60" s="10"/>
      <c r="N60" s="13"/>
      <c r="O60" s="14"/>
      <c r="P60" s="12"/>
      <c r="Q60" s="91" t="s">
        <v>2</v>
      </c>
      <c r="R60" s="10"/>
      <c r="S60" s="10"/>
      <c r="T60" s="10"/>
      <c r="U60" s="10"/>
      <c r="V60" s="10"/>
      <c r="W60" s="10"/>
      <c r="X60" s="10"/>
      <c r="Y60" s="10"/>
      <c r="Z60" s="10"/>
      <c r="AA60" s="16"/>
      <c r="AB60" s="16"/>
      <c r="AC60" s="16"/>
      <c r="AD60" s="16"/>
      <c r="AE60" s="17" t="s">
        <v>3</v>
      </c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8"/>
      <c r="AY60" s="10"/>
      <c r="AZ60" s="10"/>
      <c r="BA60" s="10"/>
      <c r="BC60" s="10"/>
      <c r="BD60" s="10"/>
      <c r="BE60" s="126"/>
    </row>
    <row r="61" spans="1:57" ht="12.75" customHeight="1">
      <c r="B61" s="21" t="s">
        <v>4</v>
      </c>
      <c r="C61" s="22" t="s">
        <v>4</v>
      </c>
      <c r="D61" s="22" t="s">
        <v>4</v>
      </c>
      <c r="E61" s="23" t="s">
        <v>4</v>
      </c>
      <c r="F61" s="24" t="s">
        <v>4</v>
      </c>
      <c r="G61" s="24" t="s">
        <v>4</v>
      </c>
      <c r="H61" s="24" t="s">
        <v>4</v>
      </c>
      <c r="I61" s="24" t="s">
        <v>4</v>
      </c>
      <c r="J61" s="24" t="s">
        <v>4</v>
      </c>
      <c r="K61" s="25" t="s">
        <v>4</v>
      </c>
      <c r="L61" s="25" t="s">
        <v>4</v>
      </c>
      <c r="M61" s="111" t="s">
        <v>4</v>
      </c>
      <c r="N61" s="26" t="s">
        <v>4</v>
      </c>
      <c r="O61" s="26" t="s">
        <v>4</v>
      </c>
      <c r="P61" s="26" t="s">
        <v>4</v>
      </c>
      <c r="Q61" s="27" t="s">
        <v>4</v>
      </c>
      <c r="R61" s="28" t="s">
        <v>4</v>
      </c>
      <c r="S61" s="28" t="s">
        <v>4</v>
      </c>
      <c r="T61" s="29" t="s">
        <v>4</v>
      </c>
      <c r="U61" s="30" t="s">
        <v>4</v>
      </c>
      <c r="V61" s="30" t="s">
        <v>4</v>
      </c>
      <c r="W61" s="30" t="s">
        <v>4</v>
      </c>
      <c r="X61" s="30" t="s">
        <v>4</v>
      </c>
      <c r="Y61" s="30" t="s">
        <v>4</v>
      </c>
      <c r="Z61" s="30" t="s">
        <v>4</v>
      </c>
      <c r="AA61" s="30" t="s">
        <v>4</v>
      </c>
      <c r="AB61" s="30" t="s">
        <v>4</v>
      </c>
      <c r="AC61" s="30" t="s">
        <v>4</v>
      </c>
      <c r="AD61" s="30" t="s">
        <v>4</v>
      </c>
      <c r="AE61" s="30" t="s">
        <v>4</v>
      </c>
      <c r="AF61" s="30" t="s">
        <v>4</v>
      </c>
      <c r="AG61" s="30" t="s">
        <v>4</v>
      </c>
      <c r="AH61" s="30" t="s">
        <v>4</v>
      </c>
      <c r="AI61" s="30" t="s">
        <v>4</v>
      </c>
      <c r="AJ61" s="30" t="s">
        <v>4</v>
      </c>
      <c r="AK61" s="30" t="s">
        <v>4</v>
      </c>
      <c r="AL61" s="30" t="s">
        <v>4</v>
      </c>
      <c r="AM61" s="30" t="s">
        <v>4</v>
      </c>
      <c r="AN61" s="30" t="s">
        <v>4</v>
      </c>
      <c r="AO61" s="30" t="s">
        <v>4</v>
      </c>
      <c r="AP61" s="30" t="s">
        <v>4</v>
      </c>
      <c r="AQ61" s="30" t="s">
        <v>4</v>
      </c>
      <c r="AR61" s="30" t="s">
        <v>4</v>
      </c>
      <c r="AS61" s="30" t="s">
        <v>4</v>
      </c>
      <c r="AT61" s="30" t="s">
        <v>4</v>
      </c>
      <c r="AU61" s="30" t="s">
        <v>4</v>
      </c>
      <c r="AV61" s="30" t="s">
        <v>4</v>
      </c>
      <c r="AW61" s="30" t="s">
        <v>4</v>
      </c>
      <c r="AX61" s="30" t="s">
        <v>4</v>
      </c>
      <c r="AY61" s="30" t="s">
        <v>4</v>
      </c>
      <c r="AZ61" s="30" t="s">
        <v>4</v>
      </c>
      <c r="BA61" s="30" t="s">
        <v>4</v>
      </c>
      <c r="BC61" s="30" t="s">
        <v>4</v>
      </c>
      <c r="BD61" s="30" t="s">
        <v>4</v>
      </c>
      <c r="BE61" s="30" t="s">
        <v>4</v>
      </c>
    </row>
    <row r="62" spans="1:57" ht="12.75" customHeight="1">
      <c r="B62" s="32" t="s">
        <v>5</v>
      </c>
      <c r="C62" s="33" t="s">
        <v>6</v>
      </c>
      <c r="D62" s="34" t="s">
        <v>7</v>
      </c>
      <c r="E62" s="35" t="s">
        <v>8</v>
      </c>
      <c r="F62" s="34">
        <v>2000</v>
      </c>
      <c r="G62" s="34">
        <v>2001</v>
      </c>
      <c r="H62" s="34">
        <v>2002</v>
      </c>
      <c r="I62" s="26">
        <v>2003</v>
      </c>
      <c r="J62" s="26">
        <v>2004</v>
      </c>
      <c r="K62" s="36">
        <v>2005</v>
      </c>
      <c r="L62" s="26">
        <v>2006</v>
      </c>
      <c r="M62" s="26">
        <v>2007</v>
      </c>
      <c r="N62" s="26">
        <v>2008</v>
      </c>
      <c r="O62" s="26">
        <v>2009</v>
      </c>
      <c r="P62" s="26">
        <v>2010</v>
      </c>
      <c r="Q62" s="37" t="s">
        <v>5</v>
      </c>
      <c r="R62" s="33" t="s">
        <v>6</v>
      </c>
      <c r="S62" s="34" t="s">
        <v>7</v>
      </c>
      <c r="T62" s="35" t="s">
        <v>8</v>
      </c>
      <c r="U62" s="34">
        <v>2000</v>
      </c>
      <c r="V62" s="34">
        <v>2001</v>
      </c>
      <c r="W62" s="34">
        <v>2002</v>
      </c>
      <c r="X62" s="34">
        <v>2003</v>
      </c>
      <c r="Y62" s="34">
        <v>2004</v>
      </c>
      <c r="Z62" s="34">
        <v>2005</v>
      </c>
      <c r="AA62" s="38" t="s">
        <v>5</v>
      </c>
      <c r="AB62" s="38" t="s">
        <v>9</v>
      </c>
      <c r="AC62" s="38" t="s">
        <v>10</v>
      </c>
      <c r="AD62" s="38" t="s">
        <v>11</v>
      </c>
      <c r="AE62" s="38" t="s">
        <v>12</v>
      </c>
      <c r="AF62" s="38" t="s">
        <v>13</v>
      </c>
      <c r="AG62" s="38" t="s">
        <v>14</v>
      </c>
      <c r="AH62" s="38" t="s">
        <v>15</v>
      </c>
      <c r="AI62" s="38" t="s">
        <v>16</v>
      </c>
      <c r="AJ62" s="38" t="s">
        <v>17</v>
      </c>
      <c r="AK62" s="2">
        <v>1991</v>
      </c>
      <c r="AL62" s="2">
        <v>1992</v>
      </c>
      <c r="AM62" s="2">
        <v>1993</v>
      </c>
      <c r="AN62" s="2">
        <v>1994</v>
      </c>
      <c r="AO62" s="2">
        <v>1995</v>
      </c>
      <c r="AP62" s="2">
        <v>1996</v>
      </c>
      <c r="AQ62" s="38" t="s">
        <v>6</v>
      </c>
      <c r="AR62" s="39" t="s">
        <v>7</v>
      </c>
      <c r="AS62" s="39" t="s">
        <v>8</v>
      </c>
      <c r="AT62" s="39">
        <v>2000</v>
      </c>
      <c r="AU62" s="39">
        <v>2001</v>
      </c>
      <c r="AV62" s="31">
        <v>2002</v>
      </c>
      <c r="AY62" s="34">
        <v>2005</v>
      </c>
      <c r="AZ62" s="34">
        <v>2006</v>
      </c>
      <c r="BA62" s="34">
        <v>2007</v>
      </c>
      <c r="BC62" s="34">
        <v>2008</v>
      </c>
      <c r="BD62" s="34">
        <v>2009</v>
      </c>
      <c r="BE62" s="36">
        <v>2010</v>
      </c>
    </row>
    <row r="63" spans="1:57" ht="12.75" customHeight="1">
      <c r="B63" s="41"/>
      <c r="C63" s="92"/>
      <c r="D63" s="92"/>
      <c r="E63" s="93"/>
      <c r="F63" s="92"/>
      <c r="G63" s="92"/>
      <c r="H63" s="92"/>
      <c r="I63" s="92"/>
      <c r="J63" s="92"/>
      <c r="K63" s="56"/>
      <c r="L63" s="92"/>
      <c r="M63" s="92"/>
      <c r="N63" s="92"/>
      <c r="O63" s="92"/>
      <c r="P63" s="92"/>
      <c r="Q63" s="44"/>
      <c r="R63" s="45"/>
      <c r="S63" s="45"/>
      <c r="T63" s="46"/>
      <c r="U63" s="45"/>
      <c r="V63" s="45"/>
      <c r="W63" s="45"/>
      <c r="X63" s="45"/>
      <c r="Y63" s="45"/>
      <c r="Z63" s="45"/>
      <c r="AU63" s="45"/>
      <c r="AY63" s="45"/>
      <c r="AZ63" s="45"/>
      <c r="BA63" s="45"/>
      <c r="BC63" s="45"/>
      <c r="BD63" s="45"/>
    </row>
    <row r="64" spans="1:57" ht="56.25" customHeight="1">
      <c r="A64" s="47" t="s">
        <v>40</v>
      </c>
      <c r="B64" s="48"/>
      <c r="C64" s="54"/>
      <c r="D64" s="54"/>
      <c r="E64" s="55"/>
      <c r="F64" s="54"/>
      <c r="G64" s="54"/>
      <c r="H64" s="54"/>
      <c r="I64" s="56"/>
      <c r="J64" s="56"/>
      <c r="K64" s="56"/>
      <c r="L64" s="56"/>
      <c r="M64" s="56"/>
      <c r="N64" s="56"/>
      <c r="O64" s="56"/>
      <c r="P64" s="56"/>
      <c r="Q64" s="50"/>
      <c r="T64" s="51"/>
    </row>
    <row r="65" spans="1:57" ht="12.75" customHeight="1">
      <c r="A65" s="52"/>
      <c r="B65" s="48"/>
      <c r="C65" s="54"/>
      <c r="D65" s="54"/>
      <c r="E65" s="55"/>
      <c r="F65" s="54"/>
      <c r="G65" s="54"/>
      <c r="H65" s="54"/>
      <c r="I65" s="56"/>
      <c r="J65" s="56"/>
      <c r="K65" s="56"/>
      <c r="L65" s="56"/>
      <c r="M65" s="56"/>
      <c r="N65" s="56"/>
      <c r="O65" s="56"/>
      <c r="P65" s="56"/>
      <c r="Q65" s="50"/>
      <c r="T65" s="51"/>
    </row>
    <row r="66" spans="1:57" ht="12.75" customHeight="1">
      <c r="A66" s="52" t="str">
        <f>pivot!A42</f>
        <v>AVILA</v>
      </c>
      <c r="B66" s="66" t="s">
        <v>42</v>
      </c>
      <c r="C66" s="54">
        <v>0.10740439381611067</v>
      </c>
      <c r="D66" s="54">
        <v>0.12849162011173185</v>
      </c>
      <c r="E66" s="55">
        <v>0.13719943422913719</v>
      </c>
      <c r="F66" s="54">
        <v>0.13698630136986301</v>
      </c>
      <c r="G66" s="54">
        <v>0.13726708074534161</v>
      </c>
      <c r="H66" s="54">
        <f>+W66/AV66</f>
        <v>0.15463917525773196</v>
      </c>
      <c r="I66" s="56">
        <f>+X66/AW66</f>
        <v>0.23374340949033393</v>
      </c>
      <c r="J66" s="56">
        <f>+Y66/AX66</f>
        <v>0.15446768060836502</v>
      </c>
      <c r="K66" s="56">
        <f>+Z66/AY66</f>
        <v>0.15910430170889805</v>
      </c>
      <c r="L66" s="56">
        <v>0.14795008912655971</v>
      </c>
      <c r="M66" s="56">
        <v>0.13708356089568541</v>
      </c>
      <c r="N66" s="56">
        <v>0.12790097988653945</v>
      </c>
      <c r="O66" s="56">
        <v>0.14632857897517168</v>
      </c>
      <c r="P66" s="56">
        <f>pivot!B42</f>
        <v>0.16417910447761194</v>
      </c>
      <c r="Q66" s="69" t="s">
        <v>42</v>
      </c>
      <c r="R66" s="58">
        <f>27+105</f>
        <v>132</v>
      </c>
      <c r="S66" s="58">
        <f>35+126</f>
        <v>161</v>
      </c>
      <c r="T66" s="59">
        <f>52+142</f>
        <v>194</v>
      </c>
      <c r="U66" s="58">
        <v>190</v>
      </c>
      <c r="V66" s="58">
        <f>65+156</f>
        <v>221</v>
      </c>
      <c r="W66" s="58">
        <f>82+188</f>
        <v>270</v>
      </c>
      <c r="X66" s="58">
        <f>89+177</f>
        <v>266</v>
      </c>
      <c r="Y66" s="58">
        <f>146+179</f>
        <v>325</v>
      </c>
      <c r="Z66" s="58">
        <f>83+187</f>
        <v>270</v>
      </c>
      <c r="AA66" s="94" t="s">
        <v>31</v>
      </c>
      <c r="AB66" s="2">
        <v>1876</v>
      </c>
      <c r="AC66" s="52" t="s">
        <v>31</v>
      </c>
      <c r="AD66" s="2">
        <v>1667</v>
      </c>
      <c r="AE66" s="52" t="s">
        <v>31</v>
      </c>
      <c r="AF66" s="2">
        <v>1437</v>
      </c>
      <c r="AG66" s="2">
        <v>1428</v>
      </c>
      <c r="AH66" s="2">
        <v>1585</v>
      </c>
      <c r="AI66" s="2">
        <v>1307</v>
      </c>
      <c r="AJ66" s="2">
        <f>374+994</f>
        <v>1368</v>
      </c>
      <c r="AK66" s="2">
        <f>351+979</f>
        <v>1330</v>
      </c>
      <c r="AL66" s="2">
        <f>427+982</f>
        <v>1409</v>
      </c>
      <c r="AM66" s="2">
        <f>406+983</f>
        <v>1389</v>
      </c>
      <c r="AN66" s="2">
        <f>1429-9</f>
        <v>1420</v>
      </c>
      <c r="AO66" s="2">
        <f>377+1027</f>
        <v>1404</v>
      </c>
      <c r="AP66" s="2">
        <f>1275-12</f>
        <v>1263</v>
      </c>
      <c r="AQ66" s="2">
        <f>1246-17</f>
        <v>1229</v>
      </c>
      <c r="AR66" s="60">
        <f>1270-17</f>
        <v>1253</v>
      </c>
      <c r="AS66" s="60">
        <f>1438-24</f>
        <v>1414</v>
      </c>
      <c r="AT66" s="60">
        <v>1387</v>
      </c>
      <c r="AU66" s="60">
        <f>1644-25-9</f>
        <v>1610</v>
      </c>
      <c r="AV66" s="2">
        <v>1746</v>
      </c>
      <c r="AW66" s="2">
        <f>1173-19-16</f>
        <v>1138</v>
      </c>
      <c r="AX66" s="2">
        <v>2104</v>
      </c>
      <c r="AY66" s="2">
        <v>1697</v>
      </c>
      <c r="AZ66" s="61">
        <v>249</v>
      </c>
      <c r="BA66" s="61">
        <v>251</v>
      </c>
      <c r="BB66" s="58">
        <v>1831</v>
      </c>
      <c r="BC66" s="61">
        <v>248</v>
      </c>
      <c r="BD66" s="61">
        <v>277</v>
      </c>
      <c r="BE66" s="2">
        <f>pivot!C42</f>
        <v>308</v>
      </c>
    </row>
    <row r="67" spans="1:57" ht="12.75" customHeight="1">
      <c r="A67" s="52" t="str">
        <f>pivot!A43</f>
        <v>CMU CLAS</v>
      </c>
      <c r="B67" s="66" t="s">
        <v>42</v>
      </c>
      <c r="C67" s="54">
        <v>7.1042471042471037E-2</v>
      </c>
      <c r="D67" s="54">
        <v>7.6619273301737761E-2</v>
      </c>
      <c r="E67" s="55">
        <v>8.5315832649712875E-2</v>
      </c>
      <c r="F67" s="54">
        <v>8.6580086580086577E-2</v>
      </c>
      <c r="G67" s="54">
        <v>6.4409578860445918E-2</v>
      </c>
      <c r="H67" s="54">
        <f t="shared" ref="H67:H90" si="9">+W67/AV67</f>
        <v>6.7208271787296894E-2</v>
      </c>
      <c r="I67" s="56">
        <f t="shared" ref="I67:I84" si="10">+X67/AW67</f>
        <v>3.4939121228163048E-2</v>
      </c>
      <c r="J67" s="56">
        <f t="shared" ref="J67:J84" si="11">+Y67/AX67</f>
        <v>9.1025641025641021E-2</v>
      </c>
      <c r="K67" s="56">
        <f t="shared" ref="K67:K90" si="12">+Z67/AY67</f>
        <v>2.3933402705515087E-2</v>
      </c>
      <c r="L67" s="95">
        <v>8.0856123662306781E-2</v>
      </c>
      <c r="M67" s="95">
        <v>7.922912205567452E-2</v>
      </c>
      <c r="N67" s="95">
        <v>8.7293889427740065E-2</v>
      </c>
      <c r="O67" s="56">
        <v>1.4677728142948309E-2</v>
      </c>
      <c r="P67" s="56">
        <f>pivot!B43</f>
        <v>7.1428571428571425E-2</v>
      </c>
      <c r="Q67" s="69" t="s">
        <v>42</v>
      </c>
      <c r="R67" s="58">
        <f>64+28</f>
        <v>92</v>
      </c>
      <c r="S67" s="58">
        <f>63+34</f>
        <v>97</v>
      </c>
      <c r="T67" s="59">
        <f>76+28</f>
        <v>104</v>
      </c>
      <c r="U67" s="58">
        <v>100</v>
      </c>
      <c r="V67" s="58">
        <f>51+27</f>
        <v>78</v>
      </c>
      <c r="W67" s="58">
        <f>69+22</f>
        <v>91</v>
      </c>
      <c r="X67" s="58">
        <f>52+14</f>
        <v>66</v>
      </c>
      <c r="Y67" s="58">
        <f>56+15</f>
        <v>71</v>
      </c>
      <c r="Z67" s="58">
        <f>12+46+11</f>
        <v>69</v>
      </c>
      <c r="AA67" s="94" t="s">
        <v>31</v>
      </c>
      <c r="AB67" s="2">
        <v>569</v>
      </c>
      <c r="AC67" s="52" t="s">
        <v>31</v>
      </c>
      <c r="AD67" s="2">
        <v>609</v>
      </c>
      <c r="AE67" s="52" t="s">
        <v>31</v>
      </c>
      <c r="AF67" s="2">
        <v>635</v>
      </c>
      <c r="AG67" s="52" t="s">
        <v>31</v>
      </c>
      <c r="AH67" s="2">
        <v>710</v>
      </c>
      <c r="AI67" s="2">
        <v>797</v>
      </c>
      <c r="AJ67" s="2">
        <f>407+480</f>
        <v>887</v>
      </c>
      <c r="AK67" s="2">
        <f>410+553</f>
        <v>963</v>
      </c>
      <c r="AL67" s="2">
        <f>453+541</f>
        <v>994</v>
      </c>
      <c r="AM67" s="2">
        <f>462+606</f>
        <v>1068</v>
      </c>
      <c r="AN67" s="2">
        <f>476+655</f>
        <v>1131</v>
      </c>
      <c r="AO67" s="2">
        <f>1184-9</f>
        <v>1175</v>
      </c>
      <c r="AP67" s="2">
        <f>1177-8</f>
        <v>1169</v>
      </c>
      <c r="AQ67" s="2">
        <f>513+782</f>
        <v>1295</v>
      </c>
      <c r="AR67" s="60">
        <f>482+784</f>
        <v>1266</v>
      </c>
      <c r="AS67" s="60">
        <f>1260-41</f>
        <v>1219</v>
      </c>
      <c r="AT67" s="60">
        <v>1155</v>
      </c>
      <c r="AU67" s="60">
        <f>1279-63-5</f>
        <v>1211</v>
      </c>
      <c r="AV67" s="2">
        <v>1354</v>
      </c>
      <c r="AW67" s="2">
        <f>1960-49-22</f>
        <v>1889</v>
      </c>
      <c r="AX67" s="2">
        <v>780</v>
      </c>
      <c r="AY67" s="2">
        <f>2065+818</f>
        <v>2883</v>
      </c>
      <c r="AZ67" s="61">
        <v>68</v>
      </c>
      <c r="BA67" s="61">
        <v>74</v>
      </c>
      <c r="BB67" s="58">
        <v>934</v>
      </c>
      <c r="BC67" s="61">
        <v>90</v>
      </c>
      <c r="BD67" s="61">
        <v>46</v>
      </c>
      <c r="BE67" s="2">
        <f>pivot!C43</f>
        <v>84</v>
      </c>
    </row>
    <row r="68" spans="1:57" ht="12.75" customHeight="1">
      <c r="A68" s="52" t="str">
        <f>pivot!A44</f>
        <v>CMU GR/EXT</v>
      </c>
      <c r="B68" s="66" t="s">
        <v>42</v>
      </c>
      <c r="C68" s="54"/>
      <c r="D68" s="54"/>
      <c r="E68" s="55"/>
      <c r="F68" s="54"/>
      <c r="G68" s="54"/>
      <c r="H68" s="54" t="s">
        <v>30</v>
      </c>
      <c r="I68" s="56" t="s">
        <v>30</v>
      </c>
      <c r="J68" s="56" t="s">
        <v>30</v>
      </c>
      <c r="K68" s="56" t="s">
        <v>30</v>
      </c>
      <c r="L68" s="95">
        <v>7.7586206896551723E-3</v>
      </c>
      <c r="M68" s="95">
        <v>5.6134723336006415E-3</v>
      </c>
      <c r="N68" s="95">
        <v>6.7257719351880157E-3</v>
      </c>
      <c r="O68" s="56">
        <v>7.516650808753568E-2</v>
      </c>
      <c r="P68" s="56">
        <f>pivot!B44</f>
        <v>1.2573099415204679E-2</v>
      </c>
      <c r="Q68" s="69" t="s">
        <v>42</v>
      </c>
      <c r="R68" s="58"/>
      <c r="S68" s="58"/>
      <c r="T68" s="59"/>
      <c r="U68" s="58"/>
      <c r="V68" s="58"/>
      <c r="W68" s="58" t="s">
        <v>30</v>
      </c>
      <c r="X68" s="58" t="s">
        <v>30</v>
      </c>
      <c r="Y68" s="58" t="s">
        <v>30</v>
      </c>
      <c r="Z68" s="58" t="s">
        <v>30</v>
      </c>
      <c r="AA68" s="94"/>
      <c r="AC68" s="52"/>
      <c r="AE68" s="52"/>
      <c r="AG68" s="52"/>
      <c r="AR68" s="60"/>
      <c r="AS68" s="60"/>
      <c r="AT68" s="60"/>
      <c r="AU68" s="60"/>
      <c r="AZ68" s="61">
        <v>18</v>
      </c>
      <c r="BA68" s="61">
        <v>14</v>
      </c>
      <c r="BB68" s="58">
        <v>2494</v>
      </c>
      <c r="BC68" s="61">
        <v>22</v>
      </c>
      <c r="BD68" s="61">
        <v>79</v>
      </c>
      <c r="BE68" s="2">
        <f>pivot!C44</f>
        <v>43</v>
      </c>
    </row>
    <row r="69" spans="1:57" ht="12.75" customHeight="1">
      <c r="A69" s="52" t="str">
        <f>pivot!A45</f>
        <v>COFO</v>
      </c>
      <c r="B69" s="96" t="s">
        <v>42</v>
      </c>
      <c r="C69" s="54">
        <v>5.1183621241202813E-3</v>
      </c>
      <c r="D69" s="54">
        <v>4.0983606557377051E-3</v>
      </c>
      <c r="E69" s="55">
        <v>3.5511363636363635E-3</v>
      </c>
      <c r="F69" s="54">
        <v>4.9504950495049506E-3</v>
      </c>
      <c r="G69" s="54">
        <v>3.6205648081100651E-3</v>
      </c>
      <c r="H69" s="54">
        <f t="shared" si="9"/>
        <v>2.9806259314456036E-3</v>
      </c>
      <c r="I69" s="56">
        <f t="shared" si="10"/>
        <v>5.2316890881913304E-3</v>
      </c>
      <c r="J69" s="56">
        <f t="shared" si="11"/>
        <v>6.6765578635014835E-3</v>
      </c>
      <c r="K69" s="56">
        <f t="shared" si="12"/>
        <v>8.2520630157539385E-3</v>
      </c>
      <c r="L69" s="95">
        <v>9.6654275092936809E-3</v>
      </c>
      <c r="M69" s="95">
        <v>9.6011816838995571E-3</v>
      </c>
      <c r="N69" s="95">
        <v>1.1244377811094454E-2</v>
      </c>
      <c r="O69" s="56">
        <v>8.9086859688195987E-3</v>
      </c>
      <c r="P69" s="56">
        <f>pivot!B45</f>
        <v>5.7971014492753624E-3</v>
      </c>
      <c r="Q69" s="97" t="s">
        <v>42</v>
      </c>
      <c r="R69" s="58">
        <v>8</v>
      </c>
      <c r="S69" s="58">
        <v>6</v>
      </c>
      <c r="T69" s="59">
        <v>5</v>
      </c>
      <c r="U69" s="58">
        <v>7</v>
      </c>
      <c r="V69" s="58">
        <f>3+2</f>
        <v>5</v>
      </c>
      <c r="W69" s="58">
        <v>4</v>
      </c>
      <c r="X69" s="58">
        <v>7</v>
      </c>
      <c r="Y69" s="58">
        <v>9</v>
      </c>
      <c r="Z69" s="58">
        <v>11</v>
      </c>
      <c r="AA69" s="98" t="s">
        <v>31</v>
      </c>
      <c r="AB69" s="2">
        <v>1293</v>
      </c>
      <c r="AC69" s="2">
        <v>1311</v>
      </c>
      <c r="AD69" s="2">
        <v>1222</v>
      </c>
      <c r="AE69" s="2">
        <v>1201</v>
      </c>
      <c r="AF69" s="2">
        <v>1390</v>
      </c>
      <c r="AG69" s="2">
        <v>1243</v>
      </c>
      <c r="AH69" s="2">
        <v>1315</v>
      </c>
      <c r="AI69" s="2">
        <v>1434</v>
      </c>
      <c r="AJ69" s="2">
        <f>692+820</f>
        <v>1512</v>
      </c>
      <c r="AK69" s="2">
        <v>1571</v>
      </c>
      <c r="AL69" s="2">
        <f>701+815</f>
        <v>1516</v>
      </c>
      <c r="AM69" s="2">
        <f>672+800</f>
        <v>1472</v>
      </c>
      <c r="AN69" s="2">
        <f>595+676+121+149</f>
        <v>1541</v>
      </c>
      <c r="AO69" s="2">
        <f>690+819</f>
        <v>1509</v>
      </c>
      <c r="AP69" s="2">
        <f>614+677+102+132</f>
        <v>1525</v>
      </c>
      <c r="AQ69" s="2">
        <f>703+860</f>
        <v>1563</v>
      </c>
      <c r="AR69" s="60">
        <f>1488-24</f>
        <v>1464</v>
      </c>
      <c r="AS69" s="60">
        <f>1429-21</f>
        <v>1408</v>
      </c>
      <c r="AT69" s="60">
        <v>1414</v>
      </c>
      <c r="AU69" s="60">
        <f>1395-8-6</f>
        <v>1381</v>
      </c>
      <c r="AV69" s="2">
        <v>1342</v>
      </c>
      <c r="AW69" s="2">
        <f>1347-6-3</f>
        <v>1338</v>
      </c>
      <c r="AX69" s="2">
        <v>1348</v>
      </c>
      <c r="AY69" s="2">
        <v>1333</v>
      </c>
      <c r="AZ69" s="61">
        <v>13</v>
      </c>
      <c r="BA69" s="61">
        <v>13</v>
      </c>
      <c r="BB69" s="58">
        <v>1354</v>
      </c>
      <c r="BC69" s="61">
        <v>15</v>
      </c>
      <c r="BD69" s="61">
        <v>12</v>
      </c>
      <c r="BE69" s="2">
        <f>pivot!C45</f>
        <v>8</v>
      </c>
    </row>
    <row r="70" spans="1:57" ht="12.75" customHeight="1">
      <c r="A70" s="52" t="str">
        <f>pivot!A46</f>
        <v>COLUMBIA</v>
      </c>
      <c r="B70" s="53">
        <v>0.17168539325842697</v>
      </c>
      <c r="C70" s="54">
        <v>0.12953228197870334</v>
      </c>
      <c r="D70" s="54">
        <v>0.13511488511488512</v>
      </c>
      <c r="E70" s="55">
        <v>0.14057186043582315</v>
      </c>
      <c r="F70" s="54">
        <v>0.14921399594320486</v>
      </c>
      <c r="G70" s="54">
        <v>0.15701691684536573</v>
      </c>
      <c r="H70" s="54">
        <f t="shared" si="9"/>
        <v>0.16130832775173029</v>
      </c>
      <c r="I70" s="56">
        <f t="shared" si="10"/>
        <v>0.18008560945780677</v>
      </c>
      <c r="J70" s="56">
        <f t="shared" si="11"/>
        <v>0.17572841971498593</v>
      </c>
      <c r="K70" s="56">
        <f t="shared" si="12"/>
        <v>0.1757123473541384</v>
      </c>
      <c r="L70" s="95">
        <v>0.17801302931596091</v>
      </c>
      <c r="M70" s="95">
        <v>0.17591663450405248</v>
      </c>
      <c r="N70" s="95">
        <v>0.17065549321781123</v>
      </c>
      <c r="O70" s="56">
        <v>0.17433787606068399</v>
      </c>
      <c r="P70" s="56">
        <f>pivot!B46</f>
        <v>0.18818535550053059</v>
      </c>
      <c r="Q70" s="57">
        <v>382</v>
      </c>
      <c r="R70" s="58">
        <f>392+569</f>
        <v>961</v>
      </c>
      <c r="S70" s="58">
        <f>448+634</f>
        <v>1082</v>
      </c>
      <c r="T70" s="59">
        <f>435+681</f>
        <v>1116</v>
      </c>
      <c r="U70" s="58">
        <v>1177</v>
      </c>
      <c r="V70" s="58">
        <f>494+824</f>
        <v>1318</v>
      </c>
      <c r="W70" s="58">
        <f>566+879</f>
        <v>1445</v>
      </c>
      <c r="X70" s="58">
        <f>685+1082</f>
        <v>1767</v>
      </c>
      <c r="Y70" s="58">
        <f>732+1204</f>
        <v>1936</v>
      </c>
      <c r="Z70" s="58">
        <f>812+1260</f>
        <v>2072</v>
      </c>
      <c r="AA70" s="98">
        <v>2225</v>
      </c>
      <c r="AB70" s="2">
        <v>2358</v>
      </c>
      <c r="AC70" s="2">
        <v>2582</v>
      </c>
      <c r="AD70" s="2">
        <v>2745</v>
      </c>
      <c r="AE70" s="52" t="s">
        <v>31</v>
      </c>
      <c r="AF70" s="2">
        <v>3024</v>
      </c>
      <c r="AG70" s="2">
        <v>3322</v>
      </c>
      <c r="AH70" s="2">
        <v>3566</v>
      </c>
      <c r="AI70" s="2">
        <v>3736</v>
      </c>
      <c r="AJ70" s="2">
        <f>2035+2185</f>
        <v>4220</v>
      </c>
      <c r="AK70" s="2">
        <f>2239+2633</f>
        <v>4872</v>
      </c>
      <c r="AL70" s="2">
        <f>2487+3076</f>
        <v>5563</v>
      </c>
      <c r="AM70" s="2">
        <f>2777+3228</f>
        <v>6005</v>
      </c>
      <c r="AN70" s="2">
        <f>(2956+3381)-(114+103)</f>
        <v>6120</v>
      </c>
      <c r="AO70" s="2">
        <f>(2734+3495)-41</f>
        <v>6188</v>
      </c>
      <c r="AP70" s="2">
        <f>(2885+3863)-(12+17)</f>
        <v>6719</v>
      </c>
      <c r="AQ70" s="2">
        <f>(3163+4272)-16</f>
        <v>7419</v>
      </c>
      <c r="AR70" s="60">
        <f>8050-42</f>
        <v>8008</v>
      </c>
      <c r="AS70" s="60">
        <f>8002-27-36</f>
        <v>7939</v>
      </c>
      <c r="AT70" s="60">
        <v>7888</v>
      </c>
      <c r="AU70" s="60">
        <f>8564-91-79</f>
        <v>8394</v>
      </c>
      <c r="AV70" s="2">
        <v>8958</v>
      </c>
      <c r="AW70" s="2">
        <f>10146-195-139</f>
        <v>9812</v>
      </c>
      <c r="AX70" s="2">
        <v>11017</v>
      </c>
      <c r="AY70" s="2">
        <v>11792</v>
      </c>
      <c r="AZ70" s="61">
        <v>2186</v>
      </c>
      <c r="BA70" s="61">
        <v>2279</v>
      </c>
      <c r="BB70" s="58">
        <v>12955</v>
      </c>
      <c r="BC70" s="61">
        <v>2403</v>
      </c>
      <c r="BD70" s="61">
        <v>2712</v>
      </c>
      <c r="BE70" s="2">
        <f>pivot!C46</f>
        <v>3192</v>
      </c>
    </row>
    <row r="71" spans="1:57" ht="12.75" customHeight="1">
      <c r="A71" s="52" t="str">
        <f>pivot!A47</f>
        <v>CULVER</v>
      </c>
      <c r="B71" s="66" t="s">
        <v>42</v>
      </c>
      <c r="C71" s="54">
        <v>2.6156941649899398E-2</v>
      </c>
      <c r="D71" s="54">
        <v>1.5906680805938492E-2</v>
      </c>
      <c r="E71" s="55">
        <v>2.2988505747126436E-2</v>
      </c>
      <c r="F71" s="54">
        <v>3.5322777101096221E-2</v>
      </c>
      <c r="G71" s="54">
        <v>6.090133982947625E-2</v>
      </c>
      <c r="H71" s="54">
        <f t="shared" si="9"/>
        <v>6.0386473429951688E-2</v>
      </c>
      <c r="I71" s="56">
        <f t="shared" si="10"/>
        <v>7.1856287425149698E-2</v>
      </c>
      <c r="J71" s="56">
        <f t="shared" si="11"/>
        <v>6.7836257309941514E-2</v>
      </c>
      <c r="K71" s="56">
        <f t="shared" si="12"/>
        <v>6.9047619047619052E-2</v>
      </c>
      <c r="L71" s="95">
        <v>4.9482163406214037E-2</v>
      </c>
      <c r="M71" s="95">
        <v>5.8892815076560662E-2</v>
      </c>
      <c r="N71" s="95">
        <v>6.2962962962962957E-2</v>
      </c>
      <c r="O71" s="56">
        <v>9.1511936339522551E-2</v>
      </c>
      <c r="P71" s="56">
        <f>pivot!B47</f>
        <v>9.9870298313878086E-2</v>
      </c>
      <c r="Q71" s="69" t="s">
        <v>42</v>
      </c>
      <c r="R71" s="58">
        <v>26</v>
      </c>
      <c r="S71" s="58">
        <v>15</v>
      </c>
      <c r="T71" s="59">
        <v>20</v>
      </c>
      <c r="U71" s="58">
        <v>29</v>
      </c>
      <c r="V71" s="58">
        <f>44+6</f>
        <v>50</v>
      </c>
      <c r="W71" s="58">
        <v>50</v>
      </c>
      <c r="X71" s="58">
        <v>60</v>
      </c>
      <c r="Y71" s="58">
        <f>50+8</f>
        <v>58</v>
      </c>
      <c r="Z71" s="58">
        <f>49+9</f>
        <v>58</v>
      </c>
      <c r="AA71" s="94" t="s">
        <v>31</v>
      </c>
      <c r="AB71" s="2">
        <v>619</v>
      </c>
      <c r="AC71" s="52" t="s">
        <v>31</v>
      </c>
      <c r="AD71" s="2">
        <v>646</v>
      </c>
      <c r="AE71" s="52" t="s">
        <v>31</v>
      </c>
      <c r="AF71" s="2">
        <v>843</v>
      </c>
      <c r="AG71" s="2">
        <v>926</v>
      </c>
      <c r="AH71" s="2">
        <v>1032</v>
      </c>
      <c r="AI71" s="2">
        <v>1067</v>
      </c>
      <c r="AJ71" s="2">
        <f>446+683</f>
        <v>1129</v>
      </c>
      <c r="AK71" s="2">
        <f>445+724</f>
        <v>1169</v>
      </c>
      <c r="AL71" s="2">
        <f>417+728</f>
        <v>1145</v>
      </c>
      <c r="AM71" s="2">
        <f>388+716</f>
        <v>1104</v>
      </c>
      <c r="AN71" s="2">
        <f>362+695</f>
        <v>1057</v>
      </c>
      <c r="AO71" s="2">
        <f>336+665</f>
        <v>1001</v>
      </c>
      <c r="AP71" s="2">
        <f>366+665</f>
        <v>1031</v>
      </c>
      <c r="AQ71" s="2">
        <f>376+618</f>
        <v>994</v>
      </c>
      <c r="AR71" s="60">
        <f>364+579</f>
        <v>943</v>
      </c>
      <c r="AS71" s="60">
        <f>368+502</f>
        <v>870</v>
      </c>
      <c r="AT71" s="60">
        <v>821</v>
      </c>
      <c r="AU71" s="60">
        <v>821</v>
      </c>
      <c r="AV71" s="2">
        <v>828</v>
      </c>
      <c r="AW71" s="2">
        <v>835</v>
      </c>
      <c r="AX71" s="2">
        <v>855</v>
      </c>
      <c r="AY71" s="2">
        <v>840</v>
      </c>
      <c r="AZ71" s="61">
        <v>43</v>
      </c>
      <c r="BA71" s="61">
        <v>50</v>
      </c>
      <c r="BB71" s="58">
        <v>849</v>
      </c>
      <c r="BC71" s="61">
        <v>51</v>
      </c>
      <c r="BD71" s="61">
        <v>69</v>
      </c>
      <c r="BE71" s="2">
        <f>pivot!C47</f>
        <v>77</v>
      </c>
    </row>
    <row r="72" spans="1:57" ht="12.75" customHeight="1">
      <c r="A72" s="52" t="str">
        <f>pivot!A48</f>
        <v>DRURY</v>
      </c>
      <c r="B72" s="53">
        <v>3.4421575585521648E-2</v>
      </c>
      <c r="C72" s="54">
        <v>2.1287779237844941E-2</v>
      </c>
      <c r="D72" s="54">
        <v>1.8289541473467286E-2</v>
      </c>
      <c r="E72" s="55">
        <v>2.5501770956316411E-2</v>
      </c>
      <c r="F72" s="54">
        <v>2.874885004599816E-2</v>
      </c>
      <c r="G72" s="54">
        <v>2.4280999528524281E-2</v>
      </c>
      <c r="H72" s="54">
        <f t="shared" si="9"/>
        <v>2.6185101580135439E-2</v>
      </c>
      <c r="I72" s="56">
        <f t="shared" si="10"/>
        <v>2.5529129391228454E-2</v>
      </c>
      <c r="J72" s="56">
        <f t="shared" si="11"/>
        <v>3.0895334174022699E-2</v>
      </c>
      <c r="K72" s="56">
        <f t="shared" si="12"/>
        <v>3.0303030303030304E-2</v>
      </c>
      <c r="L72" s="95">
        <v>3.0556121409655735E-2</v>
      </c>
      <c r="M72" s="95">
        <v>3.7163519485737241E-2</v>
      </c>
      <c r="N72" s="95">
        <v>3.4220532319391636E-2</v>
      </c>
      <c r="O72" s="56">
        <v>3.8440517398433231E-2</v>
      </c>
      <c r="P72" s="56">
        <f>pivot!B48</f>
        <v>3.7329504666188083E-2</v>
      </c>
      <c r="Q72" s="57">
        <v>97</v>
      </c>
      <c r="R72" s="58">
        <f>39+42</f>
        <v>81</v>
      </c>
      <c r="S72" s="58">
        <f>34+37</f>
        <v>71</v>
      </c>
      <c r="T72" s="59">
        <f>53+55</f>
        <v>108</v>
      </c>
      <c r="U72" s="58">
        <v>125</v>
      </c>
      <c r="V72" s="58">
        <f>47+56</f>
        <v>103</v>
      </c>
      <c r="W72" s="58">
        <f>47+69</f>
        <v>116</v>
      </c>
      <c r="X72" s="58">
        <f>44+73</f>
        <v>117</v>
      </c>
      <c r="Y72" s="58">
        <f>54+93</f>
        <v>147</v>
      </c>
      <c r="Z72" s="58">
        <f>53+96</f>
        <v>149</v>
      </c>
      <c r="AA72" s="98">
        <v>2818</v>
      </c>
      <c r="AB72" s="2">
        <v>2532</v>
      </c>
      <c r="AC72" s="2">
        <v>2439</v>
      </c>
      <c r="AD72" s="2">
        <v>2400</v>
      </c>
      <c r="AE72" s="2">
        <v>2577</v>
      </c>
      <c r="AF72" s="2">
        <v>2774</v>
      </c>
      <c r="AG72" s="52">
        <v>2972</v>
      </c>
      <c r="AH72" s="2">
        <v>3156</v>
      </c>
      <c r="AI72" s="2">
        <v>3319</v>
      </c>
      <c r="AJ72" s="2">
        <f>1220+2281</f>
        <v>3501</v>
      </c>
      <c r="AK72" s="2">
        <f>1209+2216</f>
        <v>3425</v>
      </c>
      <c r="AL72" s="2">
        <f>1203+2187</f>
        <v>3390</v>
      </c>
      <c r="AM72" s="2">
        <f>1205+2188</f>
        <v>3393</v>
      </c>
      <c r="AN72" s="2">
        <f>3345-11</f>
        <v>3334</v>
      </c>
      <c r="AO72" s="2">
        <f>3444-26</f>
        <v>3418</v>
      </c>
      <c r="AP72" s="2">
        <f>(1341+2258)-(12)</f>
        <v>3587</v>
      </c>
      <c r="AQ72" s="2">
        <f>1393+2412</f>
        <v>3805</v>
      </c>
      <c r="AR72" s="60">
        <f>1405+2477</f>
        <v>3882</v>
      </c>
      <c r="AS72" s="60">
        <f>1561+2674</f>
        <v>4235</v>
      </c>
      <c r="AT72" s="60">
        <v>4348</v>
      </c>
      <c r="AU72" s="60">
        <f>4243-1-0</f>
        <v>4242</v>
      </c>
      <c r="AV72" s="2">
        <v>4430</v>
      </c>
      <c r="AW72" s="2">
        <v>4583</v>
      </c>
      <c r="AX72" s="2">
        <v>4758</v>
      </c>
      <c r="AY72" s="2">
        <v>4917</v>
      </c>
      <c r="AZ72" s="61">
        <v>150</v>
      </c>
      <c r="BA72" s="61">
        <v>185</v>
      </c>
      <c r="BB72" s="58">
        <v>4978</v>
      </c>
      <c r="BC72" s="61">
        <v>180</v>
      </c>
      <c r="BD72" s="61">
        <v>211</v>
      </c>
      <c r="BE72" s="2">
        <f>pivot!C48</f>
        <v>208</v>
      </c>
    </row>
    <row r="73" spans="1:57" ht="12.75" customHeight="1">
      <c r="A73" s="52" t="str">
        <f>pivot!A49</f>
        <v>EVANGLE</v>
      </c>
      <c r="B73" s="53">
        <v>1.3255567338282079E-2</v>
      </c>
      <c r="C73" s="54">
        <v>3.4034653465346537E-2</v>
      </c>
      <c r="D73" s="67" t="s">
        <v>30</v>
      </c>
      <c r="E73" s="55">
        <v>5.1790281329923277E-2</v>
      </c>
      <c r="F73" s="54">
        <v>3.5788024776324846E-2</v>
      </c>
      <c r="G73" s="54">
        <v>3.6817882971729124E-2</v>
      </c>
      <c r="H73" s="54">
        <f t="shared" si="9"/>
        <v>3.0175015087507542E-2</v>
      </c>
      <c r="I73" s="56">
        <f t="shared" si="10"/>
        <v>2.8741865509761388E-2</v>
      </c>
      <c r="J73" s="56">
        <f t="shared" si="11"/>
        <v>2.592780884595831E-2</v>
      </c>
      <c r="K73" s="56">
        <f t="shared" si="12"/>
        <v>3.4254143646408837E-2</v>
      </c>
      <c r="L73" s="95">
        <v>3.6606624055781523E-2</v>
      </c>
      <c r="M73" s="95">
        <v>2.8092922744462453E-2</v>
      </c>
      <c r="N73" s="95">
        <v>3.5583464154892726E-2</v>
      </c>
      <c r="O73" s="56">
        <v>3.4782608695652174E-2</v>
      </c>
      <c r="P73" s="56">
        <f>pivot!B49</f>
        <v>4.1988416988416988E-2</v>
      </c>
      <c r="Q73" s="57">
        <v>25</v>
      </c>
      <c r="R73" s="58">
        <f>34+21</f>
        <v>55</v>
      </c>
      <c r="S73" s="70" t="s">
        <v>30</v>
      </c>
      <c r="T73" s="59">
        <f>57+24</f>
        <v>81</v>
      </c>
      <c r="U73" s="58">
        <v>52</v>
      </c>
      <c r="V73" s="58">
        <f>36+20</f>
        <v>56</v>
      </c>
      <c r="W73" s="58">
        <f>28+22</f>
        <v>50</v>
      </c>
      <c r="X73" s="58">
        <f>26+27</f>
        <v>53</v>
      </c>
      <c r="Y73" s="58">
        <f>28+23</f>
        <v>51</v>
      </c>
      <c r="Z73" s="58">
        <f>34+28</f>
        <v>62</v>
      </c>
      <c r="AA73" s="98">
        <v>1886</v>
      </c>
      <c r="AB73" s="2">
        <v>1809</v>
      </c>
      <c r="AC73" s="52" t="s">
        <v>31</v>
      </c>
      <c r="AD73" s="2">
        <v>1777</v>
      </c>
      <c r="AE73" s="52" t="s">
        <v>31</v>
      </c>
      <c r="AF73" s="2">
        <v>1609</v>
      </c>
      <c r="AG73" s="52" t="s">
        <v>31</v>
      </c>
      <c r="AH73" s="2">
        <v>1564</v>
      </c>
      <c r="AI73" s="2">
        <v>1525</v>
      </c>
      <c r="AJ73" s="2">
        <f>660+761+52+67</f>
        <v>1540</v>
      </c>
      <c r="AL73" s="2">
        <v>1420</v>
      </c>
      <c r="AN73" s="2">
        <f>681+860</f>
        <v>1541</v>
      </c>
      <c r="AO73" s="2">
        <f>714+841</f>
        <v>1555</v>
      </c>
      <c r="AP73" s="2">
        <f>1574-38</f>
        <v>1536</v>
      </c>
      <c r="AQ73" s="2">
        <f>704+912</f>
        <v>1616</v>
      </c>
      <c r="AS73" s="60">
        <f>651+913</f>
        <v>1564</v>
      </c>
      <c r="AT73" s="60">
        <v>1453</v>
      </c>
      <c r="AU73" s="60">
        <v>1521</v>
      </c>
      <c r="AV73" s="2">
        <v>1657</v>
      </c>
      <c r="AW73" s="2">
        <v>1844</v>
      </c>
      <c r="AX73" s="2">
        <v>1967</v>
      </c>
      <c r="AY73" s="2">
        <v>1810</v>
      </c>
      <c r="AZ73" s="61">
        <v>63</v>
      </c>
      <c r="BA73" s="61">
        <v>52</v>
      </c>
      <c r="BB73" s="58">
        <v>1851</v>
      </c>
      <c r="BC73" s="61">
        <v>68</v>
      </c>
      <c r="BD73" s="61">
        <v>68</v>
      </c>
      <c r="BE73" s="2">
        <f>pivot!C49</f>
        <v>87</v>
      </c>
    </row>
    <row r="74" spans="1:57" ht="12.75" customHeight="1">
      <c r="A74" s="52" t="str">
        <f>pivot!A50</f>
        <v>FONTBOONE</v>
      </c>
      <c r="B74" s="53">
        <v>0.14852607709750568</v>
      </c>
      <c r="C74" s="54">
        <v>0.14118221787982413</v>
      </c>
      <c r="D74" s="54">
        <v>0.15237134207870837</v>
      </c>
      <c r="E74" s="55">
        <v>0.16650579150579151</v>
      </c>
      <c r="F74" s="54">
        <v>0.20632603406326033</v>
      </c>
      <c r="G74" s="54">
        <v>0.25412087912087911</v>
      </c>
      <c r="H74" s="54">
        <f t="shared" si="9"/>
        <v>0.25895904436860068</v>
      </c>
      <c r="I74" s="56">
        <f t="shared" si="10"/>
        <v>0.30976965845909454</v>
      </c>
      <c r="J74" s="56">
        <f t="shared" si="11"/>
        <v>0.32189600282985498</v>
      </c>
      <c r="K74" s="56">
        <f t="shared" si="12"/>
        <v>0.3321579689703808</v>
      </c>
      <c r="L74" s="95">
        <v>0.33926128590971272</v>
      </c>
      <c r="M74" s="95">
        <v>0.32677559186395466</v>
      </c>
      <c r="N74" s="95">
        <v>0.34445567913717562</v>
      </c>
      <c r="O74" s="56">
        <v>0.32308767027593432</v>
      </c>
      <c r="P74" s="56">
        <f>pivot!B50</f>
        <v>0.28554502369668244</v>
      </c>
      <c r="Q74" s="57">
        <v>131</v>
      </c>
      <c r="R74" s="58">
        <f>97+192</f>
        <v>289</v>
      </c>
      <c r="S74" s="58">
        <f>83+219</f>
        <v>302</v>
      </c>
      <c r="T74" s="59">
        <f>86+259</f>
        <v>345</v>
      </c>
      <c r="U74" s="58">
        <v>424</v>
      </c>
      <c r="V74" s="58">
        <f>118+437</f>
        <v>555</v>
      </c>
      <c r="W74" s="58">
        <f>105+502</f>
        <v>607</v>
      </c>
      <c r="X74" s="58">
        <f>655+125</f>
        <v>780</v>
      </c>
      <c r="Y74" s="58">
        <f>168+742</f>
        <v>910</v>
      </c>
      <c r="Z74" s="58">
        <f>169+773</f>
        <v>942</v>
      </c>
      <c r="AA74" s="98">
        <v>882</v>
      </c>
      <c r="AB74" s="2">
        <v>905</v>
      </c>
      <c r="AC74" s="52" t="s">
        <v>31</v>
      </c>
      <c r="AD74" s="2">
        <v>952</v>
      </c>
      <c r="AE74" s="52" t="s">
        <v>31</v>
      </c>
      <c r="AF74" s="2">
        <v>935</v>
      </c>
      <c r="AG74" s="2">
        <v>998</v>
      </c>
      <c r="AH74" s="2">
        <v>1036</v>
      </c>
      <c r="AI74" s="2">
        <v>1108</v>
      </c>
      <c r="AJ74" s="2">
        <f>419+720</f>
        <v>1139</v>
      </c>
      <c r="AK74" s="2">
        <f>414+822</f>
        <v>1236</v>
      </c>
      <c r="AL74" s="2">
        <f>937+1047</f>
        <v>1984</v>
      </c>
      <c r="AM74" s="2">
        <f>650+1127</f>
        <v>1777</v>
      </c>
      <c r="AN74" s="2">
        <f>1681-7</f>
        <v>1674</v>
      </c>
      <c r="AO74" s="2">
        <f>592+1194</f>
        <v>1786</v>
      </c>
      <c r="AP74" s="2">
        <f>654+1228</f>
        <v>1882</v>
      </c>
      <c r="AQ74" s="2">
        <f>2054-7</f>
        <v>2047</v>
      </c>
      <c r="AR74" s="60">
        <f>657+1325</f>
        <v>1982</v>
      </c>
      <c r="AS74" s="60">
        <f>652+1420</f>
        <v>2072</v>
      </c>
      <c r="AT74" s="60">
        <v>2055</v>
      </c>
      <c r="AU74" s="60">
        <f>2192-8-0</f>
        <v>2184</v>
      </c>
      <c r="AV74" s="2">
        <v>2344</v>
      </c>
      <c r="AW74" s="2">
        <f>2542-20-4</f>
        <v>2518</v>
      </c>
      <c r="AX74" s="2">
        <v>2827</v>
      </c>
      <c r="AY74" s="2">
        <v>2836</v>
      </c>
      <c r="AZ74" s="61">
        <v>992</v>
      </c>
      <c r="BA74" s="61">
        <v>980</v>
      </c>
      <c r="BB74" s="58">
        <v>2999</v>
      </c>
      <c r="BC74" s="61">
        <v>1022</v>
      </c>
      <c r="BD74" s="61">
        <v>925</v>
      </c>
      <c r="BE74" s="2">
        <f>pivot!C50</f>
        <v>723</v>
      </c>
    </row>
    <row r="75" spans="1:57" ht="12.75" customHeight="1">
      <c r="A75" s="52" t="str">
        <f>pivot!A51</f>
        <v>HLG</v>
      </c>
      <c r="B75" s="66">
        <v>2.7649769585253458E-2</v>
      </c>
      <c r="C75" s="54">
        <v>1.6744186046511629E-2</v>
      </c>
      <c r="D75" s="54">
        <v>1.6831683168316833E-2</v>
      </c>
      <c r="E75" s="55">
        <v>8.8888888888888889E-3</v>
      </c>
      <c r="F75" s="54">
        <v>1.6740088105726872E-2</v>
      </c>
      <c r="G75" s="54">
        <v>1.3901760889712697E-2</v>
      </c>
      <c r="H75" s="54">
        <f t="shared" si="9"/>
        <v>1.611459265890779E-2</v>
      </c>
      <c r="I75" s="56">
        <f t="shared" si="10"/>
        <v>1.6888888888888887E-2</v>
      </c>
      <c r="J75" s="56">
        <f t="shared" si="11"/>
        <v>2.0618556701030927E-2</v>
      </c>
      <c r="K75" s="56">
        <f t="shared" si="12"/>
        <v>2.1780303030303032E-2</v>
      </c>
      <c r="L75" s="95">
        <v>1.466544454628781E-2</v>
      </c>
      <c r="M75" s="95">
        <v>2.2804054054054054E-2</v>
      </c>
      <c r="N75" s="95">
        <v>3.2757051865332121E-2</v>
      </c>
      <c r="O75" s="56">
        <v>2.3032629558541268E-2</v>
      </c>
      <c r="P75" s="56">
        <f>pivot!B51</f>
        <v>2.3509655751469353E-2</v>
      </c>
      <c r="Q75" s="69">
        <v>12</v>
      </c>
      <c r="R75" s="58">
        <v>18</v>
      </c>
      <c r="S75" s="58">
        <v>17</v>
      </c>
      <c r="T75" s="59">
        <v>10</v>
      </c>
      <c r="U75" s="58">
        <v>19</v>
      </c>
      <c r="V75" s="58">
        <v>15</v>
      </c>
      <c r="W75" s="58">
        <v>18</v>
      </c>
      <c r="X75" s="58">
        <v>19</v>
      </c>
      <c r="Y75" s="58">
        <v>22</v>
      </c>
      <c r="Z75" s="58">
        <f>8+15</f>
        <v>23</v>
      </c>
      <c r="AA75" s="94">
        <v>434</v>
      </c>
      <c r="AB75" s="2">
        <v>507</v>
      </c>
      <c r="AC75" s="2">
        <v>524</v>
      </c>
      <c r="AD75" s="2">
        <v>638</v>
      </c>
      <c r="AE75" s="52" t="s">
        <v>31</v>
      </c>
      <c r="AF75" s="2">
        <v>692</v>
      </c>
      <c r="AG75" s="2">
        <v>726</v>
      </c>
      <c r="AH75" s="2">
        <v>763</v>
      </c>
      <c r="AI75" s="2">
        <v>864</v>
      </c>
      <c r="AJ75" s="2">
        <f>326+684</f>
        <v>1010</v>
      </c>
      <c r="AK75" s="2">
        <f>273+522</f>
        <v>795</v>
      </c>
      <c r="AL75" s="2">
        <v>802</v>
      </c>
      <c r="AM75" s="2">
        <f>324+551</f>
        <v>875</v>
      </c>
      <c r="AN75" s="2">
        <f>311+583</f>
        <v>894</v>
      </c>
      <c r="AO75" s="2">
        <f>332+591</f>
        <v>923</v>
      </c>
      <c r="AP75" s="2">
        <f>327+555</f>
        <v>882</v>
      </c>
      <c r="AQ75" s="2">
        <f>1086-11</f>
        <v>1075</v>
      </c>
      <c r="AR75" s="60">
        <f>1026-16</f>
        <v>1010</v>
      </c>
      <c r="AS75" s="60">
        <f>1139-14</f>
        <v>1125</v>
      </c>
      <c r="AT75" s="60">
        <v>1135</v>
      </c>
      <c r="AU75" s="60">
        <f>1099-12-8</f>
        <v>1079</v>
      </c>
      <c r="AV75" s="2">
        <v>1117</v>
      </c>
      <c r="AW75" s="2">
        <f>1134-9</f>
        <v>1125</v>
      </c>
      <c r="AX75" s="2">
        <v>1067</v>
      </c>
      <c r="AY75" s="2">
        <v>1056</v>
      </c>
      <c r="AZ75" s="61">
        <v>16</v>
      </c>
      <c r="BA75" s="61">
        <v>27</v>
      </c>
      <c r="BB75" s="58">
        <v>1184</v>
      </c>
      <c r="BC75" s="61">
        <v>36</v>
      </c>
      <c r="BD75" s="61">
        <v>24</v>
      </c>
      <c r="BE75" s="2">
        <f>pivot!C51</f>
        <v>28</v>
      </c>
    </row>
    <row r="76" spans="1:57" ht="12.75" customHeight="1">
      <c r="A76" s="52" t="str">
        <f>pivot!A52</f>
        <v>LINDENWOOD</v>
      </c>
      <c r="B76" s="66" t="s">
        <v>42</v>
      </c>
      <c r="C76" s="54">
        <v>8.3258122743682314E-2</v>
      </c>
      <c r="D76" s="54">
        <v>9.5704753961634692E-2</v>
      </c>
      <c r="E76" s="55">
        <v>8.3899786366284715E-2</v>
      </c>
      <c r="F76" s="54">
        <v>8.9524517087667163E-2</v>
      </c>
      <c r="G76" s="54">
        <v>0.10733390854184642</v>
      </c>
      <c r="H76" s="54">
        <f t="shared" si="9"/>
        <v>8.0559158380170054E-2</v>
      </c>
      <c r="I76" s="56">
        <f t="shared" si="10"/>
        <v>0.12978180787758573</v>
      </c>
      <c r="J76" s="56">
        <f t="shared" si="11"/>
        <v>0.12489843296575739</v>
      </c>
      <c r="K76" s="56">
        <f t="shared" si="12"/>
        <v>0.13408990744821508</v>
      </c>
      <c r="L76" s="95">
        <v>0.14519685039370078</v>
      </c>
      <c r="M76" s="95">
        <v>0.15456106677442166</v>
      </c>
      <c r="N76" s="95">
        <v>0.14522533253920986</v>
      </c>
      <c r="O76" s="56">
        <v>0.12403920061491161</v>
      </c>
      <c r="P76" s="56">
        <f>pivot!B52</f>
        <v>0.1614808285588365</v>
      </c>
      <c r="Q76" s="69" t="s">
        <v>42</v>
      </c>
      <c r="R76" s="58">
        <f>158+211</f>
        <v>369</v>
      </c>
      <c r="S76" s="58">
        <f>160+299</f>
        <v>459</v>
      </c>
      <c r="T76" s="59">
        <f>150+282</f>
        <v>432</v>
      </c>
      <c r="U76" s="58">
        <v>482</v>
      </c>
      <c r="V76" s="58">
        <f>220+402</f>
        <v>622</v>
      </c>
      <c r="W76" s="58">
        <f>201+358</f>
        <v>559</v>
      </c>
      <c r="X76" s="58">
        <f>281+635</f>
        <v>916</v>
      </c>
      <c r="Y76" s="58">
        <f>311+765</f>
        <v>1076</v>
      </c>
      <c r="Z76" s="58">
        <f>330+887</f>
        <v>1217</v>
      </c>
      <c r="AA76" s="94" t="s">
        <v>31</v>
      </c>
      <c r="AB76" s="2">
        <v>1974</v>
      </c>
      <c r="AC76" s="2">
        <v>1848</v>
      </c>
      <c r="AD76" s="2">
        <v>1755</v>
      </c>
      <c r="AE76" s="52" t="s">
        <v>31</v>
      </c>
      <c r="AF76" s="2">
        <v>1771</v>
      </c>
      <c r="AG76" s="2">
        <v>1563</v>
      </c>
      <c r="AH76" s="2">
        <v>1771</v>
      </c>
      <c r="AI76" s="2">
        <v>2037</v>
      </c>
      <c r="AJ76" s="2">
        <f>1078+1353</f>
        <v>2431</v>
      </c>
      <c r="AK76" s="2">
        <f>1130+1504</f>
        <v>2634</v>
      </c>
      <c r="AL76" s="2">
        <f>1326+1499</f>
        <v>2825</v>
      </c>
      <c r="AM76" s="2">
        <f>1305+1832</f>
        <v>3137</v>
      </c>
      <c r="AN76" s="2">
        <f>3362-(58+49)</f>
        <v>3255</v>
      </c>
      <c r="AO76" s="2">
        <f>3660-134</f>
        <v>3526</v>
      </c>
      <c r="AP76" s="2">
        <f>(1648+2645)-(125+148)</f>
        <v>4020</v>
      </c>
      <c r="AQ76" s="2">
        <f>(1743+3045)-(143+213)</f>
        <v>4432</v>
      </c>
      <c r="AR76" s="60">
        <f>5184-149-239</f>
        <v>4796</v>
      </c>
      <c r="AS76" s="60">
        <f>5847-256-442</f>
        <v>5149</v>
      </c>
      <c r="AT76" s="60">
        <v>5384</v>
      </c>
      <c r="AU76" s="60">
        <f>6446-396-255</f>
        <v>5795</v>
      </c>
      <c r="AV76" s="2">
        <v>6939</v>
      </c>
      <c r="AW76" s="2">
        <f>7838-452-328</f>
        <v>7058</v>
      </c>
      <c r="AX76" s="2">
        <v>8615</v>
      </c>
      <c r="AY76" s="2">
        <v>9076</v>
      </c>
      <c r="AZ76" s="61">
        <v>1383</v>
      </c>
      <c r="BA76" s="61">
        <v>1530</v>
      </c>
      <c r="BB76" s="58">
        <v>9899</v>
      </c>
      <c r="BC76" s="61">
        <v>1463</v>
      </c>
      <c r="BD76" s="61">
        <v>1291</v>
      </c>
      <c r="BE76" s="2">
        <f>pivot!C52</f>
        <v>1832</v>
      </c>
    </row>
    <row r="77" spans="1:57" ht="12.75" customHeight="1">
      <c r="A77" s="52" t="str">
        <f>pivot!A53</f>
        <v>MARYVILLE</v>
      </c>
      <c r="B77" s="53">
        <v>7.1682464454976308E-2</v>
      </c>
      <c r="C77" s="54">
        <v>0.05</v>
      </c>
      <c r="D77" s="54">
        <v>5.2725329533309585E-2</v>
      </c>
      <c r="E77" s="55">
        <v>5.7929036929761042E-2</v>
      </c>
      <c r="F77" s="54">
        <v>6.0941828254847646E-2</v>
      </c>
      <c r="G77" s="54">
        <v>6.0211554109031735E-2</v>
      </c>
      <c r="H77" s="54">
        <f t="shared" si="9"/>
        <v>5.5130168453292494E-2</v>
      </c>
      <c r="I77" s="56">
        <f t="shared" si="10"/>
        <v>7.2607260726072612E-2</v>
      </c>
      <c r="J77" s="56">
        <f t="shared" si="11"/>
        <v>5.9235668789808918E-2</v>
      </c>
      <c r="K77" s="56">
        <f t="shared" si="12"/>
        <v>6.4225876512565935E-2</v>
      </c>
      <c r="L77" s="95">
        <v>6.9006900690069012E-2</v>
      </c>
      <c r="M77" s="95">
        <v>7.5686732904734072E-2</v>
      </c>
      <c r="N77" s="95">
        <v>6.7671310776229746E-2</v>
      </c>
      <c r="O77" s="56">
        <v>7.1590265987549515E-2</v>
      </c>
      <c r="P77" s="56">
        <f>pivot!B53</f>
        <v>8.1338411316648526E-2</v>
      </c>
      <c r="Q77" s="57">
        <v>121</v>
      </c>
      <c r="R77" s="58">
        <f>25+113</f>
        <v>138</v>
      </c>
      <c r="S77" s="58">
        <f>28+120</f>
        <v>148</v>
      </c>
      <c r="T77" s="59">
        <f>33+127</f>
        <v>160</v>
      </c>
      <c r="U77" s="58">
        <v>154</v>
      </c>
      <c r="V77" s="58">
        <f>32+116</f>
        <v>148</v>
      </c>
      <c r="W77" s="58">
        <f>25+155</f>
        <v>180</v>
      </c>
      <c r="X77" s="58">
        <f>172+26</f>
        <v>198</v>
      </c>
      <c r="Y77" s="58">
        <f>27+159</f>
        <v>186</v>
      </c>
      <c r="Z77" s="58">
        <f>34+173</f>
        <v>207</v>
      </c>
      <c r="AA77" s="98">
        <v>1688</v>
      </c>
      <c r="AB77" s="2">
        <v>1927</v>
      </c>
      <c r="AC77" s="2">
        <v>2052</v>
      </c>
      <c r="AD77" s="2">
        <v>2247</v>
      </c>
      <c r="AE77" s="2">
        <v>2395</v>
      </c>
      <c r="AF77" s="2">
        <v>2675</v>
      </c>
      <c r="AG77" s="2">
        <v>2853</v>
      </c>
      <c r="AH77" s="2">
        <v>2934</v>
      </c>
      <c r="AI77" s="2">
        <v>3143</v>
      </c>
      <c r="AJ77" s="2">
        <f>990+2284</f>
        <v>3274</v>
      </c>
      <c r="AK77" s="2">
        <f>1092+2454</f>
        <v>3546</v>
      </c>
      <c r="AL77" s="2">
        <f>1200+2522</f>
        <v>3722</v>
      </c>
      <c r="AM77" s="2">
        <f>1166+2598</f>
        <v>3764</v>
      </c>
      <c r="AN77" s="2">
        <v>3425</v>
      </c>
      <c r="AO77" s="2">
        <f>3378-(99+84)</f>
        <v>3195</v>
      </c>
      <c r="AP77" s="2">
        <f>(939+2257)-(286)</f>
        <v>2910</v>
      </c>
      <c r="AQ77" s="2">
        <f>(871+2184)-(295)</f>
        <v>2760</v>
      </c>
      <c r="AR77" s="60">
        <f>3057-78-172</f>
        <v>2807</v>
      </c>
      <c r="AS77" s="60">
        <f>3060-92-206</f>
        <v>2762</v>
      </c>
      <c r="AT77" s="60">
        <v>2527</v>
      </c>
      <c r="AU77" s="60">
        <f>3162-519-185</f>
        <v>2458</v>
      </c>
      <c r="AV77" s="2">
        <v>3265</v>
      </c>
      <c r="AW77" s="2">
        <f>3301-442-132</f>
        <v>2727</v>
      </c>
      <c r="AX77" s="2">
        <v>3140</v>
      </c>
      <c r="AY77" s="2">
        <v>3223</v>
      </c>
      <c r="AZ77" s="61">
        <v>230</v>
      </c>
      <c r="BA77" s="61">
        <v>259</v>
      </c>
      <c r="BB77" s="58">
        <v>3422</v>
      </c>
      <c r="BC77" s="61">
        <v>238</v>
      </c>
      <c r="BD77" s="61">
        <v>253</v>
      </c>
      <c r="BE77" s="2">
        <f>pivot!C53</f>
        <v>299</v>
      </c>
    </row>
    <row r="78" spans="1:57" ht="12.75" customHeight="1">
      <c r="A78" s="52" t="str">
        <f>pivot!A54</f>
        <v>MO BAP</v>
      </c>
      <c r="B78" s="66" t="s">
        <v>42</v>
      </c>
      <c r="C78" s="54">
        <v>6.5943600867678961E-2</v>
      </c>
      <c r="D78" s="54">
        <v>7.9679756004574914E-2</v>
      </c>
      <c r="E78" s="55">
        <v>6.8101623147494711E-2</v>
      </c>
      <c r="F78" s="54">
        <v>4.1452677916360967E-2</v>
      </c>
      <c r="G78" s="54">
        <v>5.2333333333333336E-2</v>
      </c>
      <c r="H78" s="54">
        <f t="shared" si="9"/>
        <v>4.7335423197492163E-2</v>
      </c>
      <c r="I78" s="56">
        <f t="shared" si="10"/>
        <v>5.9634317862165963E-2</v>
      </c>
      <c r="J78" s="56">
        <f t="shared" si="11"/>
        <v>6.2838836865450956E-2</v>
      </c>
      <c r="K78" s="56">
        <f t="shared" si="12"/>
        <v>6.5470852017937217E-2</v>
      </c>
      <c r="L78" s="95">
        <v>5.4755043227665709E-2</v>
      </c>
      <c r="M78" s="95">
        <v>4.9747972824895903E-2</v>
      </c>
      <c r="N78" s="95">
        <v>5.3966189856957086E-2</v>
      </c>
      <c r="O78" s="56">
        <v>6.7617866004962779E-2</v>
      </c>
      <c r="P78" s="56">
        <f>pivot!B54</f>
        <v>6.0647965231133937E-2</v>
      </c>
      <c r="Q78" s="69" t="s">
        <v>42</v>
      </c>
      <c r="R78" s="58">
        <f>58+94</f>
        <v>152</v>
      </c>
      <c r="S78" s="58">
        <f>86+123</f>
        <v>209</v>
      </c>
      <c r="T78" s="59">
        <v>193</v>
      </c>
      <c r="U78" s="58">
        <v>113</v>
      </c>
      <c r="V78" s="58">
        <f>63+94</f>
        <v>157</v>
      </c>
      <c r="W78" s="58">
        <f>71+80</f>
        <v>151</v>
      </c>
      <c r="X78" s="58">
        <f>92+120</f>
        <v>212</v>
      </c>
      <c r="Y78" s="58">
        <f>116+139</f>
        <v>255</v>
      </c>
      <c r="Z78" s="58">
        <f>126+166</f>
        <v>292</v>
      </c>
      <c r="AA78" s="94" t="s">
        <v>31</v>
      </c>
      <c r="AB78" s="2">
        <v>406</v>
      </c>
      <c r="AC78" s="52" t="s">
        <v>31</v>
      </c>
      <c r="AD78" s="2">
        <v>476</v>
      </c>
      <c r="AE78" s="2">
        <v>388</v>
      </c>
      <c r="AF78" s="2">
        <v>603</v>
      </c>
      <c r="AG78" s="2">
        <v>867</v>
      </c>
      <c r="AH78" s="2">
        <v>849</v>
      </c>
      <c r="AI78" s="2">
        <v>1032</v>
      </c>
      <c r="AJ78" s="2">
        <v>1059</v>
      </c>
      <c r="AK78" s="2">
        <v>1196</v>
      </c>
      <c r="AL78" s="2">
        <f>550+848</f>
        <v>1398</v>
      </c>
      <c r="AM78" s="2">
        <f>661+1091</f>
        <v>1752</v>
      </c>
      <c r="AN78" s="2">
        <f>(726+1187)-(19+39)</f>
        <v>1855</v>
      </c>
      <c r="AO78" s="2">
        <f>2183-46</f>
        <v>2137</v>
      </c>
      <c r="AP78" s="2">
        <v>2337</v>
      </c>
      <c r="AQ78" s="2">
        <f>2395-90</f>
        <v>2305</v>
      </c>
      <c r="AR78" s="60">
        <f>12+8+86+123+4+14+13+22+797+1544</f>
        <v>2623</v>
      </c>
      <c r="AS78" s="60">
        <f>2974-49-91</f>
        <v>2834</v>
      </c>
      <c r="AT78" s="60">
        <v>2726</v>
      </c>
      <c r="AU78" s="60">
        <f>3105-69-36</f>
        <v>3000</v>
      </c>
      <c r="AV78" s="2">
        <v>3190</v>
      </c>
      <c r="AW78" s="2">
        <f>3656-33-68</f>
        <v>3555</v>
      </c>
      <c r="AX78" s="2">
        <v>4058</v>
      </c>
      <c r="AY78" s="2">
        <v>4460</v>
      </c>
      <c r="AZ78" s="61">
        <v>247</v>
      </c>
      <c r="BA78" s="61">
        <v>227</v>
      </c>
      <c r="BB78" s="58">
        <v>4563</v>
      </c>
      <c r="BC78" s="61">
        <v>249</v>
      </c>
      <c r="BD78" s="61">
        <v>327</v>
      </c>
      <c r="BE78" s="2">
        <f>pivot!C54</f>
        <v>307</v>
      </c>
    </row>
    <row r="79" spans="1:57" ht="12.75" customHeight="1">
      <c r="A79" s="52" t="str">
        <f>pivot!A55</f>
        <v>MO VAL</v>
      </c>
      <c r="B79" s="53">
        <v>0.19502074688796681</v>
      </c>
      <c r="C79" s="54">
        <v>0.1388888888888889</v>
      </c>
      <c r="D79" s="54">
        <v>0.14865749836280287</v>
      </c>
      <c r="E79" s="55">
        <v>0.13375796178343949</v>
      </c>
      <c r="F79" s="54">
        <v>0.14848289218850871</v>
      </c>
      <c r="G79" s="54">
        <v>0.11097019657577679</v>
      </c>
      <c r="H79" s="54">
        <f t="shared" si="9"/>
        <v>0.11</v>
      </c>
      <c r="I79" s="56">
        <f t="shared" si="10"/>
        <v>0.11815384615384615</v>
      </c>
      <c r="J79" s="56">
        <f t="shared" si="11"/>
        <v>0.11732522796352583</v>
      </c>
      <c r="K79" s="56">
        <f t="shared" si="12"/>
        <v>0.13096695226438188</v>
      </c>
      <c r="L79" s="95">
        <v>0.13885429638854296</v>
      </c>
      <c r="M79" s="95">
        <v>0.14698937426210154</v>
      </c>
      <c r="N79" s="95">
        <v>0.14707585408222351</v>
      </c>
      <c r="O79" s="56">
        <v>0.16321967579653437</v>
      </c>
      <c r="P79" s="56">
        <f>pivot!B55</f>
        <v>0.16871508379888267</v>
      </c>
      <c r="Q79" s="57">
        <v>94</v>
      </c>
      <c r="R79" s="58">
        <f>152+43</f>
        <v>195</v>
      </c>
      <c r="S79" s="58">
        <f>180+47</f>
        <v>227</v>
      </c>
      <c r="T79" s="59">
        <f>152+58</f>
        <v>210</v>
      </c>
      <c r="U79" s="58">
        <v>230</v>
      </c>
      <c r="V79" s="58">
        <f>130+45</f>
        <v>175</v>
      </c>
      <c r="W79" s="58">
        <f>134+42</f>
        <v>176</v>
      </c>
      <c r="X79" s="58">
        <f>144+48</f>
        <v>192</v>
      </c>
      <c r="Y79" s="58">
        <f>152+41</f>
        <v>193</v>
      </c>
      <c r="Z79" s="58">
        <f>169+45</f>
        <v>214</v>
      </c>
      <c r="AA79" s="98">
        <v>482</v>
      </c>
      <c r="AB79" s="2">
        <v>480</v>
      </c>
      <c r="AC79" s="2">
        <v>408</v>
      </c>
      <c r="AD79" s="2">
        <v>461</v>
      </c>
      <c r="AE79" s="52" t="s">
        <v>31</v>
      </c>
      <c r="AF79" s="2">
        <v>806</v>
      </c>
      <c r="AG79" s="2">
        <v>1296</v>
      </c>
      <c r="AH79" s="2">
        <v>1175</v>
      </c>
      <c r="AI79" s="2">
        <v>1177</v>
      </c>
      <c r="AJ79" s="2">
        <f>593+461</f>
        <v>1054</v>
      </c>
      <c r="AK79" s="2">
        <f>653+407</f>
        <v>1060</v>
      </c>
      <c r="AL79" s="2">
        <f>726+469</f>
        <v>1195</v>
      </c>
      <c r="AM79" s="2">
        <f>715+517</f>
        <v>1232</v>
      </c>
      <c r="AN79" s="2">
        <f>768+529</f>
        <v>1297</v>
      </c>
      <c r="AO79" s="2">
        <f>742+581</f>
        <v>1323</v>
      </c>
      <c r="AP79" s="2">
        <f>810+556</f>
        <v>1366</v>
      </c>
      <c r="AQ79" s="2">
        <f>837+567</f>
        <v>1404</v>
      </c>
      <c r="AR79" s="60">
        <f>891+636</f>
        <v>1527</v>
      </c>
      <c r="AS79" s="60">
        <f>894+676</f>
        <v>1570</v>
      </c>
      <c r="AT79" s="60">
        <v>1549</v>
      </c>
      <c r="AU79" s="60">
        <v>1577</v>
      </c>
      <c r="AV79" s="2">
        <v>1600</v>
      </c>
      <c r="AW79" s="2">
        <v>1625</v>
      </c>
      <c r="AX79" s="2">
        <v>1645</v>
      </c>
      <c r="AY79" s="2">
        <v>1634</v>
      </c>
      <c r="AZ79" s="61">
        <v>223</v>
      </c>
      <c r="BA79" s="61">
        <v>249</v>
      </c>
      <c r="BB79" s="58">
        <v>1694</v>
      </c>
      <c r="BC79" s="61">
        <v>254</v>
      </c>
      <c r="BD79" s="61">
        <v>292</v>
      </c>
      <c r="BE79" s="2">
        <f>pivot!C55</f>
        <v>302</v>
      </c>
    </row>
    <row r="80" spans="1:57" ht="12.75" customHeight="1">
      <c r="A80" s="52" t="str">
        <f>pivot!A56</f>
        <v>PARK</v>
      </c>
      <c r="B80" s="53">
        <v>0.17978268027658875</v>
      </c>
      <c r="C80" s="54">
        <v>0.1696066746126341</v>
      </c>
      <c r="D80" s="54">
        <v>0.18298219066464905</v>
      </c>
      <c r="E80" s="55">
        <v>0.19317510922186798</v>
      </c>
      <c r="F80" s="54">
        <v>0.20230929861196414</v>
      </c>
      <c r="G80" s="54">
        <v>0.2069183716515503</v>
      </c>
      <c r="H80" s="54">
        <f t="shared" si="9"/>
        <v>0.2063617504692285</v>
      </c>
      <c r="I80" s="56">
        <f t="shared" si="10"/>
        <v>0.21191439164138862</v>
      </c>
      <c r="J80" s="56">
        <f t="shared" si="11"/>
        <v>0.21031240038253107</v>
      </c>
      <c r="K80" s="56">
        <f t="shared" si="12"/>
        <v>0.21338564853240777</v>
      </c>
      <c r="L80" s="95">
        <v>0.20937642239417387</v>
      </c>
      <c r="M80" s="95">
        <v>0.20031676597028433</v>
      </c>
      <c r="N80" s="95">
        <v>0.19210082684434454</v>
      </c>
      <c r="O80" s="56">
        <v>0.21534246575342467</v>
      </c>
      <c r="P80" s="56">
        <f>pivot!B56</f>
        <v>0.19231409083347198</v>
      </c>
      <c r="Q80" s="57">
        <v>546</v>
      </c>
      <c r="R80" s="58">
        <f>709+714</f>
        <v>1423</v>
      </c>
      <c r="S80" s="58">
        <f>770+802</f>
        <v>1572</v>
      </c>
      <c r="T80" s="59">
        <f>820+816</f>
        <v>1636</v>
      </c>
      <c r="U80" s="58">
        <v>1647</v>
      </c>
      <c r="V80" s="58">
        <f>1019+943</f>
        <v>1962</v>
      </c>
      <c r="W80" s="58">
        <f>975+1114</f>
        <v>2089</v>
      </c>
      <c r="X80" s="58">
        <f>1212+1303</f>
        <v>2515</v>
      </c>
      <c r="Y80" s="58">
        <f>1389+1250</f>
        <v>2639</v>
      </c>
      <c r="Z80" s="58">
        <f>1337+1491</f>
        <v>2828</v>
      </c>
      <c r="AA80" s="98">
        <v>3037</v>
      </c>
      <c r="AB80" s="2">
        <v>3189</v>
      </c>
      <c r="AC80" s="52" t="s">
        <v>31</v>
      </c>
      <c r="AD80" s="2">
        <v>3276</v>
      </c>
      <c r="AE80" s="52" t="s">
        <v>31</v>
      </c>
      <c r="AF80" s="2">
        <v>4006</v>
      </c>
      <c r="AG80" s="2">
        <v>4002</v>
      </c>
      <c r="AH80" s="2">
        <v>1592</v>
      </c>
      <c r="AI80" s="2">
        <f>3648+2417</f>
        <v>6065</v>
      </c>
      <c r="AJ80" s="2">
        <v>6676</v>
      </c>
      <c r="AK80" s="2">
        <f>4025+2425</f>
        <v>6450</v>
      </c>
      <c r="AL80" s="2">
        <f>(4079+2705)-(158+96)</f>
        <v>6530</v>
      </c>
      <c r="AM80" s="2">
        <f>(4380+2762)-(247+115)</f>
        <v>6780</v>
      </c>
      <c r="AN80" s="2">
        <f>(4479+3108)-(274+215)</f>
        <v>7098</v>
      </c>
      <c r="AO80" s="2">
        <f>(3625+3049)-(143+225)</f>
        <v>6306</v>
      </c>
      <c r="AP80" s="2">
        <v>6538</v>
      </c>
      <c r="AQ80" s="2">
        <f>4603+3787</f>
        <v>8390</v>
      </c>
      <c r="AR80" s="60">
        <f>4596+3995</f>
        <v>8591</v>
      </c>
      <c r="AS80" s="60">
        <f>4456+4013</f>
        <v>8469</v>
      </c>
      <c r="AT80" s="60">
        <v>8141</v>
      </c>
      <c r="AU80" s="60">
        <f>9482-0</f>
        <v>9482</v>
      </c>
      <c r="AV80" s="2">
        <v>10123</v>
      </c>
      <c r="AW80" s="2">
        <v>11868</v>
      </c>
      <c r="AX80" s="2">
        <v>12548</v>
      </c>
      <c r="AY80" s="2">
        <v>13253</v>
      </c>
      <c r="AZ80" s="61">
        <v>2760</v>
      </c>
      <c r="BA80" s="61">
        <v>2656</v>
      </c>
      <c r="BB80" s="58">
        <v>13259</v>
      </c>
      <c r="BC80" s="61">
        <v>2393</v>
      </c>
      <c r="BD80" s="61">
        <v>2751</v>
      </c>
      <c r="BE80" s="2">
        <f>pivot!C56</f>
        <v>2312</v>
      </c>
    </row>
    <row r="81" spans="1:57" ht="12.75" customHeight="1">
      <c r="A81" s="52" t="str">
        <f>pivot!A57</f>
        <v>ROCKHURST</v>
      </c>
      <c r="B81" s="53">
        <v>0.10457714458926948</v>
      </c>
      <c r="C81" s="54">
        <v>6.0386473429951688E-2</v>
      </c>
      <c r="D81" s="54">
        <v>5.916305916305916E-2</v>
      </c>
      <c r="E81" s="55">
        <v>5.9152957647882393E-2</v>
      </c>
      <c r="F81" s="54">
        <v>8.3005507474429585E-2</v>
      </c>
      <c r="G81" s="54">
        <v>7.0161912104857366E-2</v>
      </c>
      <c r="H81" s="54">
        <f t="shared" si="9"/>
        <v>8.885017421602788E-2</v>
      </c>
      <c r="I81" s="56">
        <f t="shared" si="10"/>
        <v>8.5337470907680374E-2</v>
      </c>
      <c r="J81" s="56">
        <f t="shared" si="11"/>
        <v>8.0289330922242316E-2</v>
      </c>
      <c r="K81" s="56">
        <f t="shared" si="12"/>
        <v>7.2690217391304351E-2</v>
      </c>
      <c r="L81" s="95">
        <v>5.3816046966731895E-2</v>
      </c>
      <c r="M81" s="95">
        <v>4.9295774647887321E-2</v>
      </c>
      <c r="N81" s="95">
        <v>5.1523007128969539E-2</v>
      </c>
      <c r="O81" s="56">
        <v>4.8861010234400794E-2</v>
      </c>
      <c r="P81" s="56">
        <f>pivot!B57</f>
        <v>6.4939550949913646E-2</v>
      </c>
      <c r="Q81" s="57">
        <v>345</v>
      </c>
      <c r="R81" s="58">
        <f>34+91</f>
        <v>125</v>
      </c>
      <c r="S81" s="58">
        <f>33+90</f>
        <v>123</v>
      </c>
      <c r="T81" s="59">
        <f>54+115</f>
        <v>169</v>
      </c>
      <c r="U81" s="58">
        <v>211</v>
      </c>
      <c r="V81" s="58">
        <f>49+133</f>
        <v>182</v>
      </c>
      <c r="W81" s="58">
        <f>82+173</f>
        <v>255</v>
      </c>
      <c r="X81" s="58">
        <f>58+162</f>
        <v>220</v>
      </c>
      <c r="Y81" s="58">
        <f>58+164</f>
        <v>222</v>
      </c>
      <c r="Z81" s="58">
        <f>65+149</f>
        <v>214</v>
      </c>
      <c r="AA81" s="98">
        <v>3299</v>
      </c>
      <c r="AB81" s="2">
        <v>3183</v>
      </c>
      <c r="AC81" s="2">
        <v>3127</v>
      </c>
      <c r="AD81" s="2">
        <v>2869</v>
      </c>
      <c r="AE81" s="2">
        <v>2888</v>
      </c>
      <c r="AF81" s="2">
        <v>3198</v>
      </c>
      <c r="AG81" s="2">
        <v>3125</v>
      </c>
      <c r="AH81" s="2">
        <v>3125</v>
      </c>
      <c r="AI81" s="2">
        <v>2814</v>
      </c>
      <c r="AJ81" s="2">
        <f>1334+1472</f>
        <v>2806</v>
      </c>
      <c r="AK81" s="2">
        <f>1259+1499</f>
        <v>2758</v>
      </c>
      <c r="AL81" s="2">
        <f>1195+1416</f>
        <v>2611</v>
      </c>
      <c r="AM81" s="2">
        <f>1129+1457</f>
        <v>2586</v>
      </c>
      <c r="AN81" s="2">
        <f>(1136+1522)-(61+89)</f>
        <v>2508</v>
      </c>
      <c r="AO81" s="2">
        <f>(1294+1592)-(98+88)</f>
        <v>2700</v>
      </c>
      <c r="AP81" s="2">
        <v>2386</v>
      </c>
      <c r="AQ81" s="2">
        <f>(1257+1535)-(333+389)</f>
        <v>2070</v>
      </c>
      <c r="AR81" s="60">
        <f>2862-385-398</f>
        <v>2079</v>
      </c>
      <c r="AS81" s="60">
        <f>2955-39-59</f>
        <v>2857</v>
      </c>
      <c r="AT81" s="60">
        <v>2542</v>
      </c>
      <c r="AU81" s="60">
        <f>2730-70-66</f>
        <v>2594</v>
      </c>
      <c r="AV81" s="2">
        <v>2870</v>
      </c>
      <c r="AW81" s="2">
        <f>2765-108-79</f>
        <v>2578</v>
      </c>
      <c r="AX81" s="2">
        <v>2765</v>
      </c>
      <c r="AY81" s="2">
        <v>2944</v>
      </c>
      <c r="AZ81" s="61">
        <v>165</v>
      </c>
      <c r="BA81" s="61">
        <v>154</v>
      </c>
      <c r="BB81" s="58">
        <v>3124</v>
      </c>
      <c r="BC81" s="61">
        <v>159</v>
      </c>
      <c r="BD81" s="61">
        <v>148</v>
      </c>
      <c r="BE81" s="2">
        <f>pivot!C57</f>
        <v>188</v>
      </c>
    </row>
    <row r="82" spans="1:57" ht="12.75" customHeight="1">
      <c r="A82" s="52" t="str">
        <f>pivot!A58</f>
        <v>SLU</v>
      </c>
      <c r="B82" s="66" t="s">
        <v>42</v>
      </c>
      <c r="C82" s="54">
        <v>7.7285787961393945E-2</v>
      </c>
      <c r="D82" s="54">
        <v>7.9549662987926817E-2</v>
      </c>
      <c r="E82" s="55">
        <v>7.9934259674286565E-2</v>
      </c>
      <c r="F82" s="54">
        <v>7.9190663837526529E-2</v>
      </c>
      <c r="G82" s="54">
        <v>7.6480199175289809E-2</v>
      </c>
      <c r="H82" s="54">
        <f t="shared" si="9"/>
        <v>6.8123393316195366E-2</v>
      </c>
      <c r="I82" s="56">
        <f t="shared" si="10"/>
        <v>6.8503241013553332E-2</v>
      </c>
      <c r="J82" s="56">
        <f t="shared" si="11"/>
        <v>6.859577977867895E-2</v>
      </c>
      <c r="K82" s="56">
        <f t="shared" si="12"/>
        <v>6.9290391554189493E-2</v>
      </c>
      <c r="L82" s="95">
        <v>6.5583674565348735E-2</v>
      </c>
      <c r="M82" s="95">
        <v>5.984941115901924E-2</v>
      </c>
      <c r="N82" s="95">
        <v>6.9128434663682709E-2</v>
      </c>
      <c r="O82" s="56">
        <v>6.4840350554636272E-2</v>
      </c>
      <c r="P82" s="56">
        <f>pivot!B58</f>
        <v>6.3301146309785991E-2</v>
      </c>
      <c r="Q82" s="69" t="s">
        <v>42</v>
      </c>
      <c r="R82" s="58">
        <f>301+748</f>
        <v>1049</v>
      </c>
      <c r="S82" s="58">
        <f>277+797</f>
        <v>1074</v>
      </c>
      <c r="T82" s="59">
        <f>286+784</f>
        <v>1070</v>
      </c>
      <c r="U82" s="58">
        <v>1045</v>
      </c>
      <c r="V82" s="58">
        <f>249+734</f>
        <v>983</v>
      </c>
      <c r="W82" s="58">
        <f>222+732</f>
        <v>954</v>
      </c>
      <c r="X82" s="58">
        <f>229+701</f>
        <v>930</v>
      </c>
      <c r="Y82" s="58">
        <f>239+759</f>
        <v>998</v>
      </c>
      <c r="Z82" s="58">
        <f>238+799</f>
        <v>1037</v>
      </c>
      <c r="AA82" s="94" t="s">
        <v>31</v>
      </c>
      <c r="AB82" s="2">
        <v>8727</v>
      </c>
      <c r="AC82" s="52" t="s">
        <v>31</v>
      </c>
      <c r="AD82" s="2">
        <v>8567</v>
      </c>
      <c r="AE82" s="52" t="s">
        <v>31</v>
      </c>
      <c r="AF82" s="2">
        <v>12185</v>
      </c>
      <c r="AG82" s="2">
        <v>12759</v>
      </c>
      <c r="AH82" s="2">
        <v>12935</v>
      </c>
      <c r="AI82" s="2">
        <v>12391</v>
      </c>
      <c r="AJ82" s="2">
        <f>5959+6937</f>
        <v>12896</v>
      </c>
      <c r="AK82" s="2">
        <f>7597+7760</f>
        <v>15357</v>
      </c>
      <c r="AL82" s="2">
        <f>7059+7490</f>
        <v>14549</v>
      </c>
      <c r="AM82" s="2">
        <f>5952+7601</f>
        <v>13553</v>
      </c>
      <c r="AN82" s="2">
        <f>(5977+7754)-(1074+1495)</f>
        <v>11162</v>
      </c>
      <c r="AO82" s="2">
        <f>(5830+7673)-(1392+1948)</f>
        <v>10163</v>
      </c>
      <c r="AP82" s="2">
        <f>(5816+7574)-(283+384)</f>
        <v>12723</v>
      </c>
      <c r="AQ82" s="2">
        <f>(6340+7889)-(322+334)</f>
        <v>13573</v>
      </c>
      <c r="AR82" s="60">
        <f>14253-342-410</f>
        <v>13501</v>
      </c>
      <c r="AS82" s="60">
        <f>14062-319-357</f>
        <v>13386</v>
      </c>
      <c r="AT82" s="60">
        <v>13196</v>
      </c>
      <c r="AU82" s="60">
        <f>13521-363-305</f>
        <v>12853</v>
      </c>
      <c r="AV82" s="2">
        <v>14004</v>
      </c>
      <c r="AW82" s="2">
        <f>14386-446-364</f>
        <v>13576</v>
      </c>
      <c r="AX82" s="2">
        <v>14549</v>
      </c>
      <c r="AY82" s="2">
        <v>14966</v>
      </c>
      <c r="AZ82" s="61">
        <v>977</v>
      </c>
      <c r="BA82" s="61">
        <v>930</v>
      </c>
      <c r="BB82" s="58">
        <v>15539</v>
      </c>
      <c r="BC82" s="61">
        <v>1112</v>
      </c>
      <c r="BD82" s="61">
        <v>1058</v>
      </c>
      <c r="BE82" s="2">
        <f>pivot!C58</f>
        <v>1121</v>
      </c>
    </row>
    <row r="83" spans="1:57" ht="12.75" customHeight="1">
      <c r="A83" s="52" t="str">
        <f>pivot!A59</f>
        <v>SBU</v>
      </c>
      <c r="B83" s="66" t="s">
        <v>30</v>
      </c>
      <c r="C83" s="54">
        <v>1.4697236919459141E-2</v>
      </c>
      <c r="D83" s="54">
        <v>1.5147101660355374E-2</v>
      </c>
      <c r="E83" s="55">
        <v>1.3293051359516616E-2</v>
      </c>
      <c r="F83" s="54">
        <v>1.594248202563301E-2</v>
      </c>
      <c r="G83" s="54">
        <v>1.6314779270633396E-2</v>
      </c>
      <c r="H83" s="54">
        <f t="shared" si="9"/>
        <v>1.5554298642533937E-2</v>
      </c>
      <c r="I83" s="56">
        <f t="shared" si="10"/>
        <v>1.8861080885019949E-2</v>
      </c>
      <c r="J83" s="56">
        <f t="shared" si="11"/>
        <v>1.7706821480406386E-2</v>
      </c>
      <c r="K83" s="56">
        <f t="shared" si="12"/>
        <v>1.9767441860465116E-2</v>
      </c>
      <c r="L83" s="95">
        <v>2.6401741970604246E-2</v>
      </c>
      <c r="M83" s="95">
        <v>3.5556861592712312E-2</v>
      </c>
      <c r="N83" s="95">
        <v>3.1728665207877461E-2</v>
      </c>
      <c r="O83" s="56">
        <v>3.2023681377825616E-2</v>
      </c>
      <c r="P83" s="56">
        <f>pivot!B59</f>
        <v>4.061052057781412E-2</v>
      </c>
      <c r="Q83" s="69" t="s">
        <v>30</v>
      </c>
      <c r="R83" s="58">
        <f>34+16</f>
        <v>50</v>
      </c>
      <c r="S83" s="58">
        <f>36+16</f>
        <v>52</v>
      </c>
      <c r="T83" s="99">
        <v>44</v>
      </c>
      <c r="U83" s="58">
        <v>51</v>
      </c>
      <c r="V83" s="58">
        <f>9+42</f>
        <v>51</v>
      </c>
      <c r="W83" s="58">
        <v>55</v>
      </c>
      <c r="X83" s="58">
        <f>39+13</f>
        <v>52</v>
      </c>
      <c r="Y83" s="58">
        <f>48+13</f>
        <v>61</v>
      </c>
      <c r="Z83" s="58">
        <f>51+17</f>
        <v>68</v>
      </c>
      <c r="AA83" s="100" t="s">
        <v>30</v>
      </c>
      <c r="AB83" s="2">
        <v>1428</v>
      </c>
      <c r="AC83" s="58">
        <v>1610</v>
      </c>
      <c r="AD83" s="2">
        <v>1749</v>
      </c>
      <c r="AE83" s="2">
        <v>1691</v>
      </c>
      <c r="AF83" s="2">
        <v>1872</v>
      </c>
      <c r="AG83" s="2">
        <v>1816</v>
      </c>
      <c r="AH83" s="2">
        <v>1834</v>
      </c>
      <c r="AI83" s="2">
        <f>1043+1877</f>
        <v>2920</v>
      </c>
      <c r="AJ83" s="2">
        <f>1044+1910</f>
        <v>2954</v>
      </c>
      <c r="AK83" s="2">
        <f>1045+1876</f>
        <v>2921</v>
      </c>
      <c r="AL83" s="2">
        <f>1069+2018</f>
        <v>3087</v>
      </c>
      <c r="AM83" s="2">
        <f>1042+2094</f>
        <v>3136</v>
      </c>
      <c r="AN83" s="2">
        <f>(1064+2138)-(195+487)</f>
        <v>2520</v>
      </c>
      <c r="AO83" s="2">
        <f>(1022+2050)-(170+451)</f>
        <v>2451</v>
      </c>
      <c r="AP83" s="2">
        <f>(960+2136)-(146+489)</f>
        <v>2461</v>
      </c>
      <c r="AQ83" s="2">
        <f>(1119+2474)-(53+138)</f>
        <v>3402</v>
      </c>
      <c r="AR83" s="60">
        <f>3708-79-196</f>
        <v>3433</v>
      </c>
      <c r="AS83" s="60">
        <f>3634-64-260</f>
        <v>3310</v>
      </c>
      <c r="AT83" s="60">
        <v>3199</v>
      </c>
      <c r="AU83" s="60">
        <f>3564-88-350</f>
        <v>3126</v>
      </c>
      <c r="AV83" s="2">
        <v>3536</v>
      </c>
      <c r="AW83" s="2">
        <f>3563-603-203</f>
        <v>2757</v>
      </c>
      <c r="AX83" s="2">
        <v>3445</v>
      </c>
      <c r="AY83" s="2">
        <v>3440</v>
      </c>
      <c r="AZ83" s="61">
        <v>97</v>
      </c>
      <c r="BA83" s="61">
        <v>121</v>
      </c>
      <c r="BB83" s="58">
        <v>3403</v>
      </c>
      <c r="BC83" s="61">
        <v>116</v>
      </c>
      <c r="BD83" s="61">
        <v>119</v>
      </c>
      <c r="BE83" s="2">
        <f>pivot!C59</f>
        <v>149</v>
      </c>
    </row>
    <row r="84" spans="1:57" ht="12.75" customHeight="1">
      <c r="A84" s="52" t="str">
        <f>pivot!A60</f>
        <v>STEPHENS</v>
      </c>
      <c r="B84" s="66" t="s">
        <v>42</v>
      </c>
      <c r="C84" s="54">
        <v>7.7018633540372666E-2</v>
      </c>
      <c r="D84" s="54">
        <v>9.2537313432835819E-2</v>
      </c>
      <c r="E84" s="55">
        <v>8.3449235048678724E-2</v>
      </c>
      <c r="F84" s="54">
        <v>7.5619295958279015E-2</v>
      </c>
      <c r="G84" s="54">
        <v>7.5872534142640363E-2</v>
      </c>
      <c r="H84" s="54">
        <f t="shared" si="9"/>
        <v>8.5889570552147243E-2</v>
      </c>
      <c r="I84" s="56">
        <f t="shared" si="10"/>
        <v>7.4796747967479676E-2</v>
      </c>
      <c r="J84" s="56">
        <f t="shared" si="11"/>
        <v>8.085106382978724E-2</v>
      </c>
      <c r="K84" s="56">
        <f t="shared" si="12"/>
        <v>6.9007263922518158E-2</v>
      </c>
      <c r="L84" s="95">
        <v>7.5726141078838169E-2</v>
      </c>
      <c r="M84" s="95">
        <v>8.9523809523809519E-2</v>
      </c>
      <c r="N84" s="95">
        <v>9.2414995640802092E-2</v>
      </c>
      <c r="O84" s="56">
        <v>0.11210398050365557</v>
      </c>
      <c r="P84" s="56">
        <f>pivot!B60</f>
        <v>0.13357079252003562</v>
      </c>
      <c r="Q84" s="69" t="s">
        <v>42</v>
      </c>
      <c r="R84" s="58">
        <v>62</v>
      </c>
      <c r="S84" s="58">
        <v>62</v>
      </c>
      <c r="T84" s="59">
        <v>60</v>
      </c>
      <c r="U84" s="58">
        <v>58</v>
      </c>
      <c r="V84" s="58">
        <f>2+48</f>
        <v>50</v>
      </c>
      <c r="W84" s="58">
        <v>56</v>
      </c>
      <c r="X84" s="58">
        <v>46</v>
      </c>
      <c r="Y84" s="58">
        <f>1+56</f>
        <v>57</v>
      </c>
      <c r="Z84" s="58">
        <v>57</v>
      </c>
      <c r="AA84" s="94" t="s">
        <v>31</v>
      </c>
      <c r="AB84" s="2">
        <v>1295</v>
      </c>
      <c r="AC84" s="52" t="s">
        <v>31</v>
      </c>
      <c r="AD84" s="2">
        <v>1094</v>
      </c>
      <c r="AE84" s="52" t="s">
        <v>31</v>
      </c>
      <c r="AF84" s="2">
        <v>1123</v>
      </c>
      <c r="AG84" s="2">
        <v>1144</v>
      </c>
      <c r="AH84" s="2">
        <v>1256</v>
      </c>
      <c r="AI84" s="2">
        <v>1166</v>
      </c>
      <c r="AJ84" s="2">
        <f>37+1154</f>
        <v>1191</v>
      </c>
      <c r="AK84" s="2">
        <f>30+1094</f>
        <v>1124</v>
      </c>
      <c r="AL84" s="2">
        <f>34+1011</f>
        <v>1045</v>
      </c>
      <c r="AM84" s="2">
        <f>43+944</f>
        <v>987</v>
      </c>
      <c r="AN84" s="2">
        <f>42+900</f>
        <v>942</v>
      </c>
      <c r="AO84" s="2">
        <f>43+840</f>
        <v>883</v>
      </c>
      <c r="AP84" s="2">
        <f>901-42</f>
        <v>859</v>
      </c>
      <c r="AQ84" s="2">
        <f>819-14</f>
        <v>805</v>
      </c>
      <c r="AR84" s="60">
        <f>773-11-92</f>
        <v>670</v>
      </c>
      <c r="AS84" s="60">
        <f>788-69</f>
        <v>719</v>
      </c>
      <c r="AT84" s="60">
        <v>767</v>
      </c>
      <c r="AU84" s="60">
        <f>669-9-1</f>
        <v>659</v>
      </c>
      <c r="AV84" s="2">
        <v>652</v>
      </c>
      <c r="AW84" s="2">
        <f>619-4</f>
        <v>615</v>
      </c>
      <c r="AX84" s="2">
        <v>705</v>
      </c>
      <c r="AY84" s="2">
        <v>826</v>
      </c>
      <c r="AZ84" s="61">
        <v>73</v>
      </c>
      <c r="BA84" s="61">
        <v>94</v>
      </c>
      <c r="BB84" s="58">
        <v>1050</v>
      </c>
      <c r="BC84" s="61">
        <v>106</v>
      </c>
      <c r="BD84" s="61">
        <v>138</v>
      </c>
      <c r="BE84" s="2">
        <f>pivot!C60</f>
        <v>150</v>
      </c>
    </row>
    <row r="85" spans="1:57" ht="12.75" customHeight="1">
      <c r="A85" s="52" t="str">
        <f>pivot!A61</f>
        <v>WUSTL</v>
      </c>
      <c r="B85" s="66" t="s">
        <v>42</v>
      </c>
      <c r="C85" s="54">
        <v>5.8346695171922321E-2</v>
      </c>
      <c r="D85" s="54">
        <v>5.708117443868739E-2</v>
      </c>
      <c r="E85" s="55">
        <v>6.0619162919405049E-2</v>
      </c>
      <c r="F85" s="54">
        <v>6.3988871500608585E-2</v>
      </c>
      <c r="G85" s="54">
        <v>6.834407104300888E-2</v>
      </c>
      <c r="H85" s="54">
        <f t="shared" si="9"/>
        <v>6.9006031174120783E-2</v>
      </c>
      <c r="I85" s="56">
        <f t="shared" ref="I85:J90" si="13">+X85/AW85</f>
        <v>7.4697007172891419E-2</v>
      </c>
      <c r="J85" s="56">
        <f t="shared" si="13"/>
        <v>7.236941710825133E-2</v>
      </c>
      <c r="K85" s="56">
        <f t="shared" si="12"/>
        <v>6.9491145483075542E-2</v>
      </c>
      <c r="L85" s="56">
        <v>7.0909771621115683E-2</v>
      </c>
      <c r="M85" s="56">
        <v>7.4204154834852792E-2</v>
      </c>
      <c r="N85" s="56">
        <v>7.5268011095284498E-2</v>
      </c>
      <c r="O85" s="56">
        <v>7.7716390423572743E-2</v>
      </c>
      <c r="P85" s="56">
        <f>pivot!B61</f>
        <v>5.9479015918958031E-2</v>
      </c>
      <c r="Q85" s="69" t="s">
        <v>42</v>
      </c>
      <c r="R85" s="2">
        <f>265+390</f>
        <v>655</v>
      </c>
      <c r="S85" s="60">
        <f>267+394</f>
        <v>661</v>
      </c>
      <c r="T85" s="99">
        <f>270+431</f>
        <v>701</v>
      </c>
      <c r="U85" s="60">
        <v>736</v>
      </c>
      <c r="V85" s="60">
        <f>302+483</f>
        <v>785</v>
      </c>
      <c r="W85" s="64">
        <f>321+560</f>
        <v>881</v>
      </c>
      <c r="X85" s="64">
        <f>329+577</f>
        <v>906</v>
      </c>
      <c r="Y85" s="64">
        <f>347+609</f>
        <v>956</v>
      </c>
      <c r="Z85" s="64">
        <f>353+577</f>
        <v>930</v>
      </c>
      <c r="AA85" s="94" t="s">
        <v>31</v>
      </c>
      <c r="AB85" s="2">
        <v>10700</v>
      </c>
      <c r="AC85" s="52" t="s">
        <v>31</v>
      </c>
      <c r="AD85" s="2">
        <v>10610</v>
      </c>
      <c r="AE85" s="52" t="s">
        <v>31</v>
      </c>
      <c r="AF85" s="2">
        <v>10481</v>
      </c>
      <c r="AG85" s="2">
        <v>10647</v>
      </c>
      <c r="AH85" s="2">
        <v>11498</v>
      </c>
      <c r="AI85" s="2">
        <v>11556</v>
      </c>
      <c r="AJ85" s="2">
        <f>6656+5334</f>
        <v>11990</v>
      </c>
      <c r="AK85" s="2">
        <f>6427+5246</f>
        <v>11673</v>
      </c>
      <c r="AL85" s="2">
        <f>6331+5241</f>
        <v>11572</v>
      </c>
      <c r="AM85" s="2">
        <f>6245+5426</f>
        <v>11671</v>
      </c>
      <c r="AN85" s="2">
        <f>11655-196</f>
        <v>11459</v>
      </c>
      <c r="AO85" s="2">
        <f>11482-169</f>
        <v>11313</v>
      </c>
      <c r="AP85" s="2">
        <f>(5911+5726)-(116+145)</f>
        <v>11376</v>
      </c>
      <c r="AQ85" s="2">
        <f>(5861+5745)-(171+209)</f>
        <v>11226</v>
      </c>
      <c r="AR85" s="60">
        <f>12035-211-244</f>
        <v>11580</v>
      </c>
      <c r="AS85" s="60">
        <f>12088-234-290</f>
        <v>11564</v>
      </c>
      <c r="AT85" s="60">
        <v>11502</v>
      </c>
      <c r="AU85" s="60">
        <f>12187-382-319</f>
        <v>11486</v>
      </c>
      <c r="AV85" s="2">
        <v>12767</v>
      </c>
      <c r="AW85" s="2">
        <f>13020-440-451</f>
        <v>12129</v>
      </c>
      <c r="AX85" s="2">
        <v>13210</v>
      </c>
      <c r="AY85" s="2">
        <v>13383</v>
      </c>
      <c r="AZ85" s="61">
        <v>947</v>
      </c>
      <c r="BA85" s="61">
        <v>993</v>
      </c>
      <c r="BB85" s="58">
        <v>13382</v>
      </c>
      <c r="BC85" s="61">
        <v>1004</v>
      </c>
      <c r="BD85" s="61">
        <v>1055</v>
      </c>
      <c r="BE85" s="2">
        <f>pivot!C61</f>
        <v>822</v>
      </c>
    </row>
    <row r="86" spans="1:57" ht="12.75" customHeight="1">
      <c r="A86" s="52" t="str">
        <f>pivot!A62</f>
        <v>WEBSTER</v>
      </c>
      <c r="B86" s="53">
        <v>0.13035381750465549</v>
      </c>
      <c r="C86" s="54">
        <v>0.17977626289110296</v>
      </c>
      <c r="D86" s="54">
        <v>0.19398574656700851</v>
      </c>
      <c r="E86" s="55">
        <v>0.20891049007695423</v>
      </c>
      <c r="F86" s="54">
        <v>0.23230780975646995</v>
      </c>
      <c r="G86" s="54">
        <v>0.25741561541084212</v>
      </c>
      <c r="H86" s="54">
        <f t="shared" si="9"/>
        <v>0.27149399965215376</v>
      </c>
      <c r="I86" s="56">
        <f t="shared" si="13"/>
        <v>0.30307551067248106</v>
      </c>
      <c r="J86" s="56">
        <f t="shared" si="13"/>
        <v>0.29530412858493538</v>
      </c>
      <c r="K86" s="56">
        <f t="shared" si="12"/>
        <v>0.30162438202857611</v>
      </c>
      <c r="L86" s="56">
        <v>0.30475135790750407</v>
      </c>
      <c r="M86" s="56">
        <v>0.29817506959480361</v>
      </c>
      <c r="N86" s="56">
        <v>0.31575649994779159</v>
      </c>
      <c r="O86" s="56">
        <v>0.3239211232707</v>
      </c>
      <c r="P86" s="56">
        <f>pivot!B62</f>
        <v>0.29485058422086652</v>
      </c>
      <c r="Q86" s="57">
        <v>630</v>
      </c>
      <c r="R86" s="58">
        <f>754+1303</f>
        <v>2057</v>
      </c>
      <c r="S86" s="58">
        <f>760+1472</f>
        <v>2232</v>
      </c>
      <c r="T86" s="59">
        <f>844+1735</f>
        <v>2579</v>
      </c>
      <c r="U86" s="58">
        <v>3043</v>
      </c>
      <c r="V86" s="58">
        <f>1175+2600</f>
        <v>3775</v>
      </c>
      <c r="W86" s="58">
        <f>1432+3251</f>
        <v>4683</v>
      </c>
      <c r="X86" s="58">
        <f>1637+3645</f>
        <v>5282</v>
      </c>
      <c r="Y86" s="58">
        <f>1726+3896</f>
        <v>5622</v>
      </c>
      <c r="Z86" s="58">
        <f>1588+3964</f>
        <v>5552</v>
      </c>
      <c r="AA86" s="98">
        <v>4833</v>
      </c>
      <c r="AB86" s="2">
        <v>4952</v>
      </c>
      <c r="AC86" s="2">
        <v>5093</v>
      </c>
      <c r="AD86" s="2">
        <v>5354</v>
      </c>
      <c r="AE86" s="2">
        <v>5792</v>
      </c>
      <c r="AF86" s="2">
        <v>6645</v>
      </c>
      <c r="AG86" s="2">
        <v>7550</v>
      </c>
      <c r="AH86" s="2">
        <v>8120</v>
      </c>
      <c r="AI86" s="2">
        <v>8317</v>
      </c>
      <c r="AJ86" s="2">
        <f>4039+4706</f>
        <v>8745</v>
      </c>
      <c r="AK86" s="2">
        <f>4361+4846</f>
        <v>9207</v>
      </c>
      <c r="AL86" s="2">
        <f>4641+5058</f>
        <v>9699</v>
      </c>
      <c r="AM86" s="2">
        <f>4600+5194</f>
        <v>9794</v>
      </c>
      <c r="AN86" s="2">
        <f>4729+5406</f>
        <v>10135</v>
      </c>
      <c r="AO86" s="2">
        <f>(4791+5869)-(52+66)</f>
        <v>10542</v>
      </c>
      <c r="AP86" s="2">
        <f>(4914+6487)-(105+166)</f>
        <v>11130</v>
      </c>
      <c r="AQ86" s="2">
        <f>(5146+6610)-(147+167)</f>
        <v>11442</v>
      </c>
      <c r="AR86" s="60">
        <f>11853-134-213</f>
        <v>11506</v>
      </c>
      <c r="AS86" s="60">
        <f>12826-481</f>
        <v>12345</v>
      </c>
      <c r="AT86" s="60">
        <v>13099</v>
      </c>
      <c r="AU86" s="60">
        <f>15402-420-317</f>
        <v>14665</v>
      </c>
      <c r="AV86" s="2">
        <v>17249</v>
      </c>
      <c r="AW86" s="2">
        <f>18740-762-550</f>
        <v>17428</v>
      </c>
      <c r="AX86" s="2">
        <v>19038</v>
      </c>
      <c r="AY86" s="2">
        <v>18407</v>
      </c>
      <c r="AZ86" s="61">
        <v>5779</v>
      </c>
      <c r="BA86" s="61">
        <v>5784</v>
      </c>
      <c r="BB86" s="58">
        <v>19398</v>
      </c>
      <c r="BC86" s="61">
        <v>6048</v>
      </c>
      <c r="BD86" s="61">
        <v>6275</v>
      </c>
      <c r="BE86" s="2">
        <f>pivot!C62</f>
        <v>5703</v>
      </c>
    </row>
    <row r="87" spans="1:57" ht="12.75" customHeight="1">
      <c r="A87" s="52" t="str">
        <f>pivot!A63</f>
        <v>WESTMINSTER</v>
      </c>
      <c r="B87" s="53">
        <v>3.4139402560455195E-2</v>
      </c>
      <c r="C87" s="54">
        <v>2.2935779816513763E-2</v>
      </c>
      <c r="D87" s="54">
        <v>9.7765363128491621E-3</v>
      </c>
      <c r="E87" s="55">
        <v>1.8950437317784258E-2</v>
      </c>
      <c r="F87" s="54">
        <v>2.046783625730994E-2</v>
      </c>
      <c r="G87" s="54">
        <v>1.955671447196871E-2</v>
      </c>
      <c r="H87" s="54">
        <f t="shared" si="9"/>
        <v>2.5412960609911054E-2</v>
      </c>
      <c r="I87" s="56">
        <f t="shared" si="13"/>
        <v>3.5043804755944929E-2</v>
      </c>
      <c r="J87" s="56">
        <f t="shared" si="13"/>
        <v>4.7619047619047616E-2</v>
      </c>
      <c r="K87" s="56">
        <f t="shared" si="12"/>
        <v>4.2483660130718956E-2</v>
      </c>
      <c r="L87" s="56">
        <v>4.3933054393305436E-2</v>
      </c>
      <c r="M87" s="56">
        <v>3.7037037037037035E-2</v>
      </c>
      <c r="N87" s="56">
        <v>4.5999999999999999E-2</v>
      </c>
      <c r="O87" s="56">
        <v>6.2557497700092002E-2</v>
      </c>
      <c r="P87" s="56">
        <f>pivot!B63</f>
        <v>7.5407026563838908E-2</v>
      </c>
      <c r="Q87" s="57">
        <v>24</v>
      </c>
      <c r="R87" s="58">
        <v>15</v>
      </c>
      <c r="S87" s="58">
        <v>7</v>
      </c>
      <c r="T87" s="59">
        <v>13</v>
      </c>
      <c r="U87" s="58">
        <v>14</v>
      </c>
      <c r="V87" s="58">
        <f>13+2</f>
        <v>15</v>
      </c>
      <c r="W87" s="58">
        <v>20</v>
      </c>
      <c r="X87" s="58">
        <v>28</v>
      </c>
      <c r="Y87" s="58">
        <f>16+25</f>
        <v>41</v>
      </c>
      <c r="Z87" s="58">
        <f>24+15</f>
        <v>39</v>
      </c>
      <c r="AA87" s="98">
        <v>703</v>
      </c>
      <c r="AB87" s="2">
        <v>687</v>
      </c>
      <c r="AC87" s="2">
        <v>675</v>
      </c>
      <c r="AD87" s="2">
        <v>615</v>
      </c>
      <c r="AE87" s="2">
        <v>612</v>
      </c>
      <c r="AF87" s="2">
        <v>632</v>
      </c>
      <c r="AG87" s="2">
        <v>679</v>
      </c>
      <c r="AH87" s="2">
        <v>689</v>
      </c>
      <c r="AI87" s="2">
        <v>734</v>
      </c>
      <c r="AJ87" s="2">
        <f>517+267</f>
        <v>784</v>
      </c>
      <c r="AK87" s="2">
        <f>469+272</f>
        <v>741</v>
      </c>
      <c r="AL87" s="2">
        <f>443+289</f>
        <v>732</v>
      </c>
      <c r="AM87" s="2">
        <f>418+284</f>
        <v>702</v>
      </c>
      <c r="AN87" s="2">
        <f>386+281</f>
        <v>667</v>
      </c>
      <c r="AO87" s="2">
        <f>352+244</f>
        <v>596</v>
      </c>
      <c r="AP87" s="2">
        <f>398+264</f>
        <v>662</v>
      </c>
      <c r="AQ87" s="2">
        <f>387+267</f>
        <v>654</v>
      </c>
      <c r="AR87" s="60">
        <f>407+309</f>
        <v>716</v>
      </c>
      <c r="AS87" s="60">
        <f>393+286+7</f>
        <v>686</v>
      </c>
      <c r="AT87" s="60">
        <v>684</v>
      </c>
      <c r="AU87" s="60">
        <f>770-1-2</f>
        <v>767</v>
      </c>
      <c r="AV87" s="2">
        <v>787</v>
      </c>
      <c r="AW87" s="2">
        <f>821-15-7</f>
        <v>799</v>
      </c>
      <c r="AX87" s="2">
        <v>861</v>
      </c>
      <c r="AY87" s="2">
        <v>918</v>
      </c>
      <c r="AZ87" s="61">
        <v>42</v>
      </c>
      <c r="BA87" s="61">
        <v>36</v>
      </c>
      <c r="BB87" s="58">
        <v>972</v>
      </c>
      <c r="BC87" s="61">
        <v>46</v>
      </c>
      <c r="BD87" s="61">
        <v>68</v>
      </c>
      <c r="BE87" s="2">
        <f>pivot!C63</f>
        <v>88</v>
      </c>
    </row>
    <row r="88" spans="1:57" ht="12.75" customHeight="1">
      <c r="A88" s="52" t="str">
        <f>pivot!A64</f>
        <v>WM JEWELL</v>
      </c>
      <c r="B88" s="53">
        <v>2.9782359679266894E-2</v>
      </c>
      <c r="C88" s="54">
        <v>3.0961791831357048E-2</v>
      </c>
      <c r="D88" s="54">
        <v>2.5152957171991841E-2</v>
      </c>
      <c r="E88" s="55">
        <v>2.5401069518716578E-2</v>
      </c>
      <c r="F88" s="54">
        <v>2.4339360222531293E-2</v>
      </c>
      <c r="G88" s="54">
        <v>2.6412325752017608E-2</v>
      </c>
      <c r="H88" s="54">
        <f t="shared" si="9"/>
        <v>2.1678321678321677E-2</v>
      </c>
      <c r="I88" s="56">
        <f t="shared" si="13"/>
        <v>3.4689793195463642E-2</v>
      </c>
      <c r="J88" s="56">
        <f t="shared" si="13"/>
        <v>3.7227214377406934E-2</v>
      </c>
      <c r="K88" s="56">
        <f t="shared" si="12"/>
        <v>4.3422733077905493E-2</v>
      </c>
      <c r="L88" s="56">
        <v>4.5584045584045586E-2</v>
      </c>
      <c r="M88" s="56">
        <v>5.2166224580017684E-2</v>
      </c>
      <c r="N88" s="56">
        <v>4.5454545454545456E-2</v>
      </c>
      <c r="O88" s="56">
        <v>3.9704524469067408E-2</v>
      </c>
      <c r="P88" s="56">
        <f>pivot!B64</f>
        <v>3.3962264150943396E-2</v>
      </c>
      <c r="Q88" s="57">
        <v>52</v>
      </c>
      <c r="R88" s="58">
        <f>29+18</f>
        <v>47</v>
      </c>
      <c r="S88" s="58">
        <f>17+20</f>
        <v>37</v>
      </c>
      <c r="T88" s="59">
        <f>22+16</f>
        <v>38</v>
      </c>
      <c r="U88" s="58">
        <v>35</v>
      </c>
      <c r="V88" s="58">
        <f>17+19</f>
        <v>36</v>
      </c>
      <c r="W88" s="58">
        <f>17+14</f>
        <v>31</v>
      </c>
      <c r="X88" s="58">
        <f>29+23</f>
        <v>52</v>
      </c>
      <c r="Y88" s="58">
        <f>35+23</f>
        <v>58</v>
      </c>
      <c r="Z88" s="58">
        <v>68</v>
      </c>
      <c r="AA88" s="98">
        <v>1746</v>
      </c>
      <c r="AB88" s="2">
        <v>1569</v>
      </c>
      <c r="AC88" s="52" t="s">
        <v>31</v>
      </c>
      <c r="AD88" s="2">
        <v>1991</v>
      </c>
      <c r="AE88" s="52" t="s">
        <v>31</v>
      </c>
      <c r="AF88" s="2">
        <v>2061</v>
      </c>
      <c r="AG88" s="2">
        <v>1454</v>
      </c>
      <c r="AH88" s="2">
        <v>1984</v>
      </c>
      <c r="AI88" s="2">
        <v>1968</v>
      </c>
      <c r="AJ88" s="2">
        <f>865+1191</f>
        <v>2056</v>
      </c>
      <c r="AK88" s="2">
        <f>792+1145</f>
        <v>1937</v>
      </c>
      <c r="AL88" s="2">
        <f>773+1107</f>
        <v>1880</v>
      </c>
      <c r="AM88" s="2">
        <f>736+1049</f>
        <v>1785</v>
      </c>
      <c r="AN88" s="2">
        <f>724+1011</f>
        <v>1735</v>
      </c>
      <c r="AO88" s="2">
        <f>638+966</f>
        <v>1604</v>
      </c>
      <c r="AP88" s="2">
        <f>599+960</f>
        <v>1559</v>
      </c>
      <c r="AQ88" s="2">
        <f>605+913</f>
        <v>1518</v>
      </c>
      <c r="AR88" s="60">
        <f>564+907</f>
        <v>1471</v>
      </c>
      <c r="AS88" s="60">
        <f>1500-4</f>
        <v>1496</v>
      </c>
      <c r="AT88" s="60">
        <v>1438</v>
      </c>
      <c r="AU88" s="60">
        <f>1369-3-3</f>
        <v>1363</v>
      </c>
      <c r="AV88" s="2">
        <v>1430</v>
      </c>
      <c r="AW88" s="2">
        <f>1536-18-19</f>
        <v>1499</v>
      </c>
      <c r="AX88" s="2">
        <v>1558</v>
      </c>
      <c r="AY88" s="2">
        <v>1566</v>
      </c>
      <c r="AZ88" s="61">
        <v>64</v>
      </c>
      <c r="BA88" s="61">
        <v>59</v>
      </c>
      <c r="BB88" s="58">
        <v>1131</v>
      </c>
      <c r="BC88" s="61">
        <v>55</v>
      </c>
      <c r="BD88" s="61">
        <v>43</v>
      </c>
      <c r="BE88" s="2">
        <f>pivot!C64</f>
        <v>36</v>
      </c>
    </row>
    <row r="89" spans="1:57" ht="12.75" customHeight="1">
      <c r="A89" s="52" t="str">
        <f>pivot!A65</f>
        <v>WM WOODS</v>
      </c>
      <c r="B89" s="66" t="s">
        <v>42</v>
      </c>
      <c r="C89" s="54">
        <v>2.9079159935379646E-2</v>
      </c>
      <c r="D89" s="54">
        <v>2.8256374913852515E-2</v>
      </c>
      <c r="E89" s="55">
        <v>3.0516431924882629E-2</v>
      </c>
      <c r="F89" s="54">
        <v>3.5812672176308541E-2</v>
      </c>
      <c r="G89" s="54">
        <v>3.4334763948497854E-2</v>
      </c>
      <c r="H89" s="54">
        <f t="shared" si="9"/>
        <v>2.8130170987313845E-2</v>
      </c>
      <c r="I89" s="56">
        <f t="shared" si="13"/>
        <v>2.9707955689828803E-2</v>
      </c>
      <c r="J89" s="56">
        <f t="shared" si="13"/>
        <v>2.6928343222272933E-2</v>
      </c>
      <c r="K89" s="56">
        <f t="shared" si="12"/>
        <v>2.8715560729530461E-2</v>
      </c>
      <c r="L89" s="56">
        <v>2.3396880415944541E-2</v>
      </c>
      <c r="M89" s="56">
        <v>2.1180712032447049E-2</v>
      </c>
      <c r="N89" s="56">
        <v>3.1236442516268982E-2</v>
      </c>
      <c r="O89" s="56">
        <v>3.5655058043117742E-2</v>
      </c>
      <c r="P89" s="56">
        <f>pivot!B65</f>
        <v>4.1189931350114416E-2</v>
      </c>
      <c r="Q89" s="69" t="s">
        <v>42</v>
      </c>
      <c r="R89" s="58">
        <f>8+28</f>
        <v>36</v>
      </c>
      <c r="S89" s="58">
        <f>9+32</f>
        <v>41</v>
      </c>
      <c r="T89" s="59">
        <f>12+27</f>
        <v>39</v>
      </c>
      <c r="U89" s="58">
        <v>52</v>
      </c>
      <c r="V89" s="58">
        <f>15+41</f>
        <v>56</v>
      </c>
      <c r="W89" s="58">
        <v>51</v>
      </c>
      <c r="X89" s="58">
        <f>18+41</f>
        <v>59</v>
      </c>
      <c r="Y89" s="58">
        <f>13+46</f>
        <v>59</v>
      </c>
      <c r="Z89" s="58">
        <f>15+59</f>
        <v>74</v>
      </c>
      <c r="AA89" s="100" t="s">
        <v>31</v>
      </c>
      <c r="AB89" s="2">
        <v>793</v>
      </c>
      <c r="AC89" s="2">
        <v>774</v>
      </c>
      <c r="AD89" s="2">
        <v>781</v>
      </c>
      <c r="AE89" s="52" t="s">
        <v>31</v>
      </c>
      <c r="AF89" s="2">
        <v>738</v>
      </c>
      <c r="AG89" s="2">
        <v>719</v>
      </c>
      <c r="AH89" s="2">
        <v>760</v>
      </c>
      <c r="AI89" s="2">
        <v>741</v>
      </c>
      <c r="AJ89" s="2">
        <v>768</v>
      </c>
      <c r="AK89" s="2">
        <v>751</v>
      </c>
      <c r="AL89" s="2">
        <v>833</v>
      </c>
      <c r="AM89" s="2">
        <v>840</v>
      </c>
      <c r="AN89" s="2">
        <v>903</v>
      </c>
      <c r="AO89" s="2">
        <f>1161-16</f>
        <v>1145</v>
      </c>
      <c r="AP89" s="2">
        <f>(212+939)-(51+71)</f>
        <v>1029</v>
      </c>
      <c r="AQ89" s="2">
        <f>1279-41</f>
        <v>1238</v>
      </c>
      <c r="AR89" s="60">
        <f>1509-23-35</f>
        <v>1451</v>
      </c>
      <c r="AS89" s="60">
        <f>1318-17-23</f>
        <v>1278</v>
      </c>
      <c r="AT89" s="60">
        <v>1452</v>
      </c>
      <c r="AU89" s="60">
        <f>1659-19-9</f>
        <v>1631</v>
      </c>
      <c r="AV89" s="2">
        <v>1813</v>
      </c>
      <c r="AW89" s="2">
        <f>2173-74-113</f>
        <v>1986</v>
      </c>
      <c r="AX89" s="2">
        <v>2191</v>
      </c>
      <c r="AY89" s="2">
        <v>2577</v>
      </c>
      <c r="AZ89" s="61">
        <v>54</v>
      </c>
      <c r="BA89" s="61">
        <v>47</v>
      </c>
      <c r="BB89" s="58">
        <v>2219</v>
      </c>
      <c r="BC89" s="61">
        <v>72</v>
      </c>
      <c r="BD89" s="61">
        <v>86</v>
      </c>
      <c r="BE89" s="2">
        <f>pivot!C65</f>
        <v>90</v>
      </c>
    </row>
    <row r="90" spans="1:57" ht="12.75" customHeight="1">
      <c r="A90" s="52" t="s">
        <v>24</v>
      </c>
      <c r="B90" s="53">
        <v>0.10231764656930055</v>
      </c>
      <c r="C90" s="54">
        <v>9.3146460782267973E-2</v>
      </c>
      <c r="D90" s="54">
        <v>9.9989602467681002E-2</v>
      </c>
      <c r="E90" s="55">
        <v>0.10332221865272347</v>
      </c>
      <c r="F90" s="54">
        <v>0.11121497407135385</v>
      </c>
      <c r="G90" s="54">
        <v>0.12138574425712734</v>
      </c>
      <c r="H90" s="54">
        <f t="shared" si="9"/>
        <v>0.12299881731906424</v>
      </c>
      <c r="I90" s="56">
        <f t="shared" si="13"/>
        <v>0.14003343401531126</v>
      </c>
      <c r="J90" s="56">
        <f t="shared" si="13"/>
        <v>0.13865155452799194</v>
      </c>
      <c r="K90" s="56">
        <f t="shared" si="12"/>
        <v>0.13729482547126515</v>
      </c>
      <c r="L90" s="56">
        <v>0.13833414115192191</v>
      </c>
      <c r="M90" s="56">
        <v>0.13707785739532791</v>
      </c>
      <c r="N90" s="56">
        <v>0.13746643651706944</v>
      </c>
      <c r="O90" s="56">
        <v>0.14070849456421597</v>
      </c>
      <c r="P90" s="56">
        <f>pivot!G10</f>
        <v>0.13568530156856004</v>
      </c>
      <c r="Q90" s="57">
        <f t="shared" ref="Q90:AY90" si="14">SUM(Q66:Q89)</f>
        <v>2459</v>
      </c>
      <c r="R90" s="64">
        <f t="shared" si="14"/>
        <v>8035</v>
      </c>
      <c r="S90" s="64">
        <f t="shared" si="14"/>
        <v>8655</v>
      </c>
      <c r="T90" s="65">
        <f t="shared" si="14"/>
        <v>9327</v>
      </c>
      <c r="U90" s="64">
        <f t="shared" si="14"/>
        <v>9994</v>
      </c>
      <c r="V90" s="64">
        <f t="shared" si="14"/>
        <v>11398</v>
      </c>
      <c r="W90" s="64">
        <f t="shared" si="14"/>
        <v>12792</v>
      </c>
      <c r="X90" s="64">
        <f t="shared" si="14"/>
        <v>14743</v>
      </c>
      <c r="Y90" s="64">
        <f t="shared" si="14"/>
        <v>15952</v>
      </c>
      <c r="Z90" s="64">
        <f t="shared" si="14"/>
        <v>16453</v>
      </c>
      <c r="AA90" s="64">
        <f t="shared" si="14"/>
        <v>24033</v>
      </c>
      <c r="AB90" s="64">
        <f t="shared" si="14"/>
        <v>53778</v>
      </c>
      <c r="AC90" s="64">
        <f t="shared" si="14"/>
        <v>22443</v>
      </c>
      <c r="AD90" s="64">
        <f t="shared" si="14"/>
        <v>54501</v>
      </c>
      <c r="AE90" s="64">
        <f t="shared" si="14"/>
        <v>17544</v>
      </c>
      <c r="AF90" s="64">
        <f t="shared" si="14"/>
        <v>62135</v>
      </c>
      <c r="AG90" s="64">
        <f t="shared" si="14"/>
        <v>62089</v>
      </c>
      <c r="AH90" s="64">
        <f t="shared" si="14"/>
        <v>65249</v>
      </c>
      <c r="AI90" s="64">
        <f t="shared" si="14"/>
        <v>71218</v>
      </c>
      <c r="AJ90" s="64">
        <f t="shared" si="14"/>
        <v>74990</v>
      </c>
      <c r="AK90" s="64">
        <f t="shared" si="14"/>
        <v>76716</v>
      </c>
      <c r="AL90" s="64">
        <f t="shared" si="14"/>
        <v>79901</v>
      </c>
      <c r="AM90" s="64">
        <f t="shared" si="14"/>
        <v>78802</v>
      </c>
      <c r="AN90" s="64">
        <f t="shared" si="14"/>
        <v>77673</v>
      </c>
      <c r="AO90" s="64">
        <f t="shared" si="14"/>
        <v>76843</v>
      </c>
      <c r="AP90" s="64">
        <f t="shared" si="14"/>
        <v>80950</v>
      </c>
      <c r="AQ90" s="64">
        <f t="shared" si="14"/>
        <v>86262</v>
      </c>
      <c r="AR90" s="64">
        <f t="shared" si="14"/>
        <v>86559</v>
      </c>
      <c r="AS90" s="64">
        <f t="shared" si="14"/>
        <v>90271</v>
      </c>
      <c r="AT90" s="64">
        <f t="shared" si="14"/>
        <v>89862</v>
      </c>
      <c r="AU90" s="64">
        <f t="shared" si="14"/>
        <v>93899</v>
      </c>
      <c r="AV90" s="64">
        <f t="shared" si="14"/>
        <v>104001</v>
      </c>
      <c r="AW90" s="64">
        <f t="shared" si="14"/>
        <v>105282</v>
      </c>
      <c r="AX90" s="64">
        <f t="shared" si="14"/>
        <v>115051</v>
      </c>
      <c r="AY90" s="64">
        <f t="shared" si="14"/>
        <v>119837</v>
      </c>
      <c r="AZ90" s="64">
        <f>SUM(AZ66:AZ89)</f>
        <v>16839</v>
      </c>
      <c r="BA90" s="64">
        <f>SUM(BA66:BA89)</f>
        <v>17064</v>
      </c>
      <c r="BB90" s="64">
        <f>SUM(BB66:BB89)</f>
        <v>124484</v>
      </c>
      <c r="BC90" s="64">
        <v>17202</v>
      </c>
      <c r="BD90" s="64">
        <v>18327</v>
      </c>
      <c r="BE90" s="64">
        <f>SUM(BE66:BE89)</f>
        <v>18157</v>
      </c>
    </row>
    <row r="91" spans="1:57" ht="12.75" customHeight="1">
      <c r="B91" s="53"/>
      <c r="C91" s="54"/>
      <c r="D91" s="54"/>
      <c r="E91" s="55"/>
      <c r="F91" s="54"/>
      <c r="G91" s="54"/>
      <c r="H91" s="54"/>
      <c r="I91" s="56"/>
      <c r="J91" s="56"/>
      <c r="K91" s="56"/>
      <c r="L91" s="56"/>
      <c r="M91" s="56"/>
      <c r="N91" s="56"/>
      <c r="O91" s="56"/>
      <c r="P91" s="56"/>
      <c r="Q91" s="57"/>
      <c r="R91" s="58"/>
      <c r="S91" s="58"/>
      <c r="T91" s="59"/>
      <c r="U91" s="58"/>
      <c r="V91" s="58"/>
      <c r="W91" s="58"/>
      <c r="X91" s="58"/>
      <c r="Y91" s="58"/>
      <c r="Z91" s="58"/>
      <c r="AA91" s="98"/>
    </row>
    <row r="92" spans="1:57" ht="56.25" customHeight="1">
      <c r="A92" s="47" t="s">
        <v>52</v>
      </c>
      <c r="B92" s="53"/>
      <c r="C92" s="54"/>
      <c r="D92" s="54"/>
      <c r="E92" s="55"/>
      <c r="F92" s="54"/>
      <c r="G92" s="54"/>
      <c r="H92" s="54"/>
      <c r="I92" s="56"/>
      <c r="J92" s="56"/>
      <c r="K92" s="56"/>
      <c r="L92" s="56"/>
      <c r="M92" s="56"/>
      <c r="N92" s="56"/>
      <c r="O92" s="56"/>
      <c r="P92" s="56"/>
      <c r="Q92" s="57"/>
      <c r="R92" s="58"/>
      <c r="S92" s="58"/>
      <c r="T92" s="59"/>
      <c r="U92" s="58"/>
      <c r="V92" s="58"/>
      <c r="W92" s="58"/>
      <c r="X92" s="58"/>
      <c r="Y92" s="58"/>
      <c r="Z92" s="58"/>
      <c r="AA92" s="98"/>
    </row>
    <row r="93" spans="1:57" ht="12.75" customHeight="1">
      <c r="A93" s="1"/>
      <c r="B93" s="53"/>
      <c r="C93" s="54"/>
      <c r="D93" s="54"/>
      <c r="E93" s="55"/>
      <c r="F93" s="54"/>
      <c r="G93" s="54"/>
      <c r="H93" s="54"/>
      <c r="I93" s="56"/>
      <c r="J93" s="56"/>
      <c r="K93" s="56"/>
      <c r="L93" s="56"/>
      <c r="M93" s="56"/>
      <c r="N93" s="56"/>
      <c r="O93" s="56"/>
      <c r="P93" s="56"/>
      <c r="Q93" s="57"/>
      <c r="R93" s="58"/>
      <c r="S93" s="58"/>
      <c r="T93" s="59"/>
      <c r="U93" s="58"/>
      <c r="V93" s="58"/>
      <c r="W93" s="58"/>
      <c r="X93" s="58"/>
      <c r="Y93" s="58"/>
      <c r="Z93" s="58"/>
      <c r="AA93" s="98"/>
    </row>
    <row r="94" spans="1:57" ht="12.75" customHeight="1">
      <c r="A94" s="52" t="str">
        <f>pivot!A67</f>
        <v>COTTEY</v>
      </c>
      <c r="B94" s="53">
        <v>6.1728395061728392E-3</v>
      </c>
      <c r="C94" s="54">
        <v>1.4760147601476014E-2</v>
      </c>
      <c r="D94" s="54">
        <v>1.8382352941176471E-2</v>
      </c>
      <c r="E94" s="55">
        <v>2.5089605734767026E-2</v>
      </c>
      <c r="F94" s="54">
        <v>3.5369774919614148E-2</v>
      </c>
      <c r="G94" s="54">
        <v>1.5337423312883436E-2</v>
      </c>
      <c r="H94" s="54">
        <f>+W94/AV94</f>
        <v>1.3114754098360656E-2</v>
      </c>
      <c r="I94" s="56">
        <f t="shared" ref="I94:I104" si="15">+X94/AW94</f>
        <v>1.4084507042253521E-2</v>
      </c>
      <c r="J94" s="56">
        <f>+Y94/AX94</f>
        <v>2.5925925925925925E-2</v>
      </c>
      <c r="K94" s="56">
        <f t="shared" ref="K94:K100" si="16">+Z94/AY94</f>
        <v>2.8662420382165606E-2</v>
      </c>
      <c r="L94" s="56">
        <v>2.8301886792452831E-2</v>
      </c>
      <c r="M94" s="56">
        <v>1.8575851393188854E-2</v>
      </c>
      <c r="N94" s="56">
        <v>4.5317220543806644E-2</v>
      </c>
      <c r="O94" s="56">
        <v>4.8543689320388349E-2</v>
      </c>
      <c r="P94" s="56">
        <f>pivot!B67</f>
        <v>5.5374592833876218E-2</v>
      </c>
      <c r="Q94" s="57">
        <v>2</v>
      </c>
      <c r="R94" s="58">
        <v>4</v>
      </c>
      <c r="S94" s="58">
        <v>5</v>
      </c>
      <c r="T94" s="59">
        <v>7</v>
      </c>
      <c r="U94" s="58">
        <v>11</v>
      </c>
      <c r="V94" s="58">
        <v>5</v>
      </c>
      <c r="W94" s="58">
        <v>4</v>
      </c>
      <c r="X94" s="58">
        <v>4</v>
      </c>
      <c r="Y94" s="58">
        <v>7</v>
      </c>
      <c r="Z94" s="58">
        <v>9</v>
      </c>
      <c r="AA94" s="98">
        <v>324</v>
      </c>
      <c r="AB94" s="2">
        <v>363</v>
      </c>
      <c r="AC94" s="52" t="s">
        <v>31</v>
      </c>
      <c r="AD94" s="2">
        <v>348</v>
      </c>
      <c r="AE94" s="52" t="s">
        <v>31</v>
      </c>
      <c r="AF94" s="2">
        <v>348</v>
      </c>
      <c r="AG94" s="76" t="s">
        <v>30</v>
      </c>
      <c r="AH94" s="2">
        <v>350</v>
      </c>
      <c r="AI94" s="76" t="s">
        <v>30</v>
      </c>
      <c r="AJ94" s="2">
        <v>348</v>
      </c>
      <c r="AK94" s="2">
        <v>360</v>
      </c>
      <c r="AL94" s="2">
        <v>413</v>
      </c>
      <c r="AM94" s="2">
        <v>370</v>
      </c>
      <c r="AN94" s="2">
        <v>354</v>
      </c>
      <c r="AO94" s="2">
        <v>320</v>
      </c>
      <c r="AP94" s="2">
        <v>294</v>
      </c>
      <c r="AQ94" s="2">
        <f>305-34</f>
        <v>271</v>
      </c>
      <c r="AR94" s="60">
        <v>272</v>
      </c>
      <c r="AS94" s="60">
        <v>279</v>
      </c>
      <c r="AT94" s="60">
        <v>311</v>
      </c>
      <c r="AU94" s="60">
        <v>326</v>
      </c>
      <c r="AV94" s="2">
        <v>305</v>
      </c>
      <c r="AW94" s="2">
        <v>284</v>
      </c>
      <c r="AX94" s="2">
        <v>270</v>
      </c>
      <c r="AY94" s="2">
        <v>314</v>
      </c>
      <c r="AZ94" s="2">
        <v>9</v>
      </c>
      <c r="BA94" s="2">
        <v>6</v>
      </c>
      <c r="BB94" s="2">
        <v>323</v>
      </c>
      <c r="BC94" s="2">
        <v>15</v>
      </c>
      <c r="BD94" s="2">
        <v>15</v>
      </c>
      <c r="BE94" s="2">
        <f>pivot!C67</f>
        <v>17</v>
      </c>
    </row>
    <row r="95" spans="1:57" ht="12.75" hidden="1" customHeight="1">
      <c r="A95" s="52" t="s">
        <v>54</v>
      </c>
      <c r="B95" s="53">
        <v>0.12295081967213115</v>
      </c>
      <c r="C95" s="67" t="s">
        <v>30</v>
      </c>
      <c r="D95" s="54">
        <v>0.41991341991341991</v>
      </c>
      <c r="E95" s="55">
        <v>0.43349753694581283</v>
      </c>
      <c r="F95" s="67" t="s">
        <v>31</v>
      </c>
      <c r="G95" s="67" t="s">
        <v>31</v>
      </c>
      <c r="H95" s="67" t="s">
        <v>31</v>
      </c>
      <c r="I95" s="74" t="s">
        <v>31</v>
      </c>
      <c r="J95" s="75" t="s">
        <v>31</v>
      </c>
      <c r="K95" s="75" t="s">
        <v>31</v>
      </c>
      <c r="L95" s="75" t="s">
        <v>31</v>
      </c>
      <c r="M95" s="75" t="s">
        <v>31</v>
      </c>
      <c r="N95" s="75" t="s">
        <v>31</v>
      </c>
      <c r="O95" s="75"/>
      <c r="P95" s="75"/>
      <c r="Q95" s="57">
        <v>15</v>
      </c>
      <c r="R95" s="70" t="s">
        <v>30</v>
      </c>
      <c r="S95" s="70">
        <v>97</v>
      </c>
      <c r="T95" s="71">
        <v>88</v>
      </c>
      <c r="U95" s="70" t="s">
        <v>31</v>
      </c>
      <c r="V95" s="70" t="s">
        <v>31</v>
      </c>
      <c r="W95" s="70" t="s">
        <v>31</v>
      </c>
      <c r="X95" s="70" t="s">
        <v>31</v>
      </c>
      <c r="Y95" s="70" t="s">
        <v>31</v>
      </c>
      <c r="Z95" s="70" t="s">
        <v>31</v>
      </c>
      <c r="AA95" s="70" t="s">
        <v>31</v>
      </c>
      <c r="AB95" s="70" t="s">
        <v>31</v>
      </c>
      <c r="AC95" s="70" t="s">
        <v>31</v>
      </c>
      <c r="AD95" s="70" t="s">
        <v>31</v>
      </c>
      <c r="AE95" s="70" t="s">
        <v>31</v>
      </c>
      <c r="AF95" s="70" t="s">
        <v>31</v>
      </c>
      <c r="AG95" s="70" t="s">
        <v>31</v>
      </c>
      <c r="AH95" s="70" t="s">
        <v>31</v>
      </c>
      <c r="AI95" s="70" t="s">
        <v>31</v>
      </c>
      <c r="AJ95" s="70" t="s">
        <v>31</v>
      </c>
      <c r="AK95" s="70" t="s">
        <v>31</v>
      </c>
      <c r="AL95" s="70" t="s">
        <v>31</v>
      </c>
      <c r="AM95" s="70" t="s">
        <v>31</v>
      </c>
      <c r="AN95" s="70" t="s">
        <v>31</v>
      </c>
      <c r="AO95" s="70" t="s">
        <v>31</v>
      </c>
      <c r="AP95" s="70" t="s">
        <v>31</v>
      </c>
      <c r="AQ95" s="70" t="s">
        <v>31</v>
      </c>
      <c r="AR95" s="70" t="s">
        <v>31</v>
      </c>
      <c r="AS95" s="70" t="s">
        <v>31</v>
      </c>
      <c r="AT95" s="70" t="s">
        <v>31</v>
      </c>
      <c r="AU95" s="70" t="s">
        <v>31</v>
      </c>
      <c r="AV95" s="70" t="s">
        <v>31</v>
      </c>
      <c r="AW95" s="70" t="s">
        <v>31</v>
      </c>
      <c r="AX95" s="70" t="s">
        <v>31</v>
      </c>
      <c r="AY95" s="70" t="s">
        <v>31</v>
      </c>
      <c r="AZ95" s="70" t="s">
        <v>31</v>
      </c>
      <c r="BA95" s="70" t="s">
        <v>31</v>
      </c>
      <c r="BB95" s="75" t="s">
        <v>31</v>
      </c>
      <c r="BC95" s="70" t="s">
        <v>31</v>
      </c>
      <c r="BD95" s="70"/>
    </row>
    <row r="96" spans="1:57" ht="12.75" hidden="1" customHeight="1">
      <c r="A96" s="52" t="s">
        <v>55</v>
      </c>
      <c r="B96" s="66" t="s">
        <v>31</v>
      </c>
      <c r="C96" s="67" t="s">
        <v>31</v>
      </c>
      <c r="D96" s="67" t="s">
        <v>31</v>
      </c>
      <c r="E96" s="68" t="s">
        <v>31</v>
      </c>
      <c r="F96" s="67" t="s">
        <v>31</v>
      </c>
      <c r="G96" s="67" t="s">
        <v>31</v>
      </c>
      <c r="H96" s="67" t="s">
        <v>31</v>
      </c>
      <c r="I96" s="74" t="s">
        <v>31</v>
      </c>
      <c r="J96" s="75" t="s">
        <v>31</v>
      </c>
      <c r="K96" s="75" t="s">
        <v>31</v>
      </c>
      <c r="L96" s="75" t="s">
        <v>31</v>
      </c>
      <c r="M96" s="75" t="s">
        <v>31</v>
      </c>
      <c r="N96" s="75" t="s">
        <v>31</v>
      </c>
      <c r="O96" s="75"/>
      <c r="P96" s="75"/>
      <c r="Q96" s="69" t="s">
        <v>31</v>
      </c>
      <c r="R96" s="70" t="s">
        <v>31</v>
      </c>
      <c r="S96" s="70" t="s">
        <v>31</v>
      </c>
      <c r="T96" s="71" t="s">
        <v>31</v>
      </c>
      <c r="U96" s="70" t="s">
        <v>31</v>
      </c>
      <c r="V96" s="70" t="s">
        <v>31</v>
      </c>
      <c r="W96" s="70" t="s">
        <v>31</v>
      </c>
      <c r="X96" s="70" t="s">
        <v>31</v>
      </c>
      <c r="Y96" s="70" t="s">
        <v>31</v>
      </c>
      <c r="Z96" s="70" t="s">
        <v>31</v>
      </c>
      <c r="AA96" s="70" t="s">
        <v>31</v>
      </c>
      <c r="AB96" s="70" t="s">
        <v>31</v>
      </c>
      <c r="AC96" s="70" t="s">
        <v>31</v>
      </c>
      <c r="AD96" s="70" t="s">
        <v>31</v>
      </c>
      <c r="AE96" s="70" t="s">
        <v>31</v>
      </c>
      <c r="AF96" s="70" t="s">
        <v>31</v>
      </c>
      <c r="AG96" s="70" t="s">
        <v>31</v>
      </c>
      <c r="AH96" s="70" t="s">
        <v>31</v>
      </c>
      <c r="AI96" s="70" t="s">
        <v>31</v>
      </c>
      <c r="AJ96" s="70" t="s">
        <v>31</v>
      </c>
      <c r="AK96" s="70" t="s">
        <v>31</v>
      </c>
      <c r="AL96" s="70" t="s">
        <v>31</v>
      </c>
      <c r="AM96" s="70" t="s">
        <v>31</v>
      </c>
      <c r="AN96" s="70" t="s">
        <v>31</v>
      </c>
      <c r="AO96" s="70" t="s">
        <v>31</v>
      </c>
      <c r="AP96" s="70" t="s">
        <v>31</v>
      </c>
      <c r="AQ96" s="70" t="s">
        <v>31</v>
      </c>
      <c r="AR96" s="70" t="s">
        <v>31</v>
      </c>
      <c r="AS96" s="70" t="s">
        <v>31</v>
      </c>
      <c r="AT96" s="70" t="s">
        <v>31</v>
      </c>
      <c r="AU96" s="70" t="s">
        <v>31</v>
      </c>
      <c r="AV96" s="70" t="s">
        <v>31</v>
      </c>
      <c r="AW96" s="70" t="s">
        <v>31</v>
      </c>
      <c r="AX96" s="70" t="s">
        <v>31</v>
      </c>
      <c r="AY96" s="70" t="s">
        <v>31</v>
      </c>
      <c r="AZ96" s="70" t="s">
        <v>31</v>
      </c>
      <c r="BA96" s="70" t="s">
        <v>31</v>
      </c>
      <c r="BB96" s="75" t="s">
        <v>31</v>
      </c>
      <c r="BC96" s="70" t="s">
        <v>31</v>
      </c>
      <c r="BD96" s="70"/>
    </row>
    <row r="97" spans="1:57" ht="12.75" hidden="1" customHeight="1">
      <c r="A97" s="52" t="s">
        <v>56</v>
      </c>
      <c r="B97" s="66" t="s">
        <v>42</v>
      </c>
      <c r="C97" s="67" t="s">
        <v>31</v>
      </c>
      <c r="D97" s="67" t="s">
        <v>31</v>
      </c>
      <c r="E97" s="68" t="s">
        <v>31</v>
      </c>
      <c r="F97" s="67" t="s">
        <v>31</v>
      </c>
      <c r="G97" s="67" t="s">
        <v>31</v>
      </c>
      <c r="H97" s="67" t="s">
        <v>31</v>
      </c>
      <c r="I97" s="74" t="s">
        <v>31</v>
      </c>
      <c r="J97" s="75" t="s">
        <v>31</v>
      </c>
      <c r="K97" s="75" t="s">
        <v>31</v>
      </c>
      <c r="L97" s="75" t="s">
        <v>31</v>
      </c>
      <c r="M97" s="75" t="s">
        <v>31</v>
      </c>
      <c r="N97" s="75" t="s">
        <v>31</v>
      </c>
      <c r="O97" s="75"/>
      <c r="P97" s="75"/>
      <c r="Q97" s="69" t="s">
        <v>42</v>
      </c>
      <c r="R97" s="70" t="s">
        <v>31</v>
      </c>
      <c r="S97" s="70" t="s">
        <v>31</v>
      </c>
      <c r="T97" s="71" t="s">
        <v>31</v>
      </c>
      <c r="U97" s="70" t="s">
        <v>31</v>
      </c>
      <c r="V97" s="70" t="s">
        <v>31</v>
      </c>
      <c r="W97" s="70" t="s">
        <v>31</v>
      </c>
      <c r="X97" s="70" t="s">
        <v>31</v>
      </c>
      <c r="Y97" s="70" t="s">
        <v>31</v>
      </c>
      <c r="Z97" s="70" t="s">
        <v>31</v>
      </c>
      <c r="AA97" s="70" t="s">
        <v>31</v>
      </c>
      <c r="AB97" s="70" t="s">
        <v>31</v>
      </c>
      <c r="AC97" s="70" t="s">
        <v>31</v>
      </c>
      <c r="AD97" s="70" t="s">
        <v>31</v>
      </c>
      <c r="AE97" s="70" t="s">
        <v>31</v>
      </c>
      <c r="AF97" s="70" t="s">
        <v>31</v>
      </c>
      <c r="AG97" s="70" t="s">
        <v>31</v>
      </c>
      <c r="AH97" s="70" t="s">
        <v>31</v>
      </c>
      <c r="AI97" s="70" t="s">
        <v>31</v>
      </c>
      <c r="AJ97" s="70" t="s">
        <v>31</v>
      </c>
      <c r="AK97" s="70" t="s">
        <v>31</v>
      </c>
      <c r="AL97" s="70" t="s">
        <v>31</v>
      </c>
      <c r="AM97" s="70" t="s">
        <v>31</v>
      </c>
      <c r="AN97" s="70" t="s">
        <v>31</v>
      </c>
      <c r="AO97" s="70" t="s">
        <v>31</v>
      </c>
      <c r="AP97" s="70" t="s">
        <v>31</v>
      </c>
      <c r="AQ97" s="70" t="s">
        <v>31</v>
      </c>
      <c r="AR97" s="70" t="s">
        <v>31</v>
      </c>
      <c r="AS97" s="70" t="s">
        <v>31</v>
      </c>
      <c r="AT97" s="70" t="s">
        <v>31</v>
      </c>
      <c r="AU97" s="70" t="s">
        <v>31</v>
      </c>
      <c r="AV97" s="70" t="s">
        <v>31</v>
      </c>
      <c r="AW97" s="70" t="s">
        <v>31</v>
      </c>
      <c r="AX97" s="70" t="s">
        <v>31</v>
      </c>
      <c r="AY97" s="70" t="s">
        <v>31</v>
      </c>
      <c r="AZ97" s="70" t="s">
        <v>31</v>
      </c>
      <c r="BA97" s="70" t="s">
        <v>31</v>
      </c>
      <c r="BB97" s="75" t="s">
        <v>31</v>
      </c>
      <c r="BC97" s="70" t="s">
        <v>31</v>
      </c>
      <c r="BD97" s="70"/>
    </row>
    <row r="98" spans="1:57" ht="12.75" hidden="1" customHeight="1">
      <c r="A98" s="52" t="s">
        <v>57</v>
      </c>
      <c r="B98" s="53">
        <v>5.1094890510948905E-2</v>
      </c>
      <c r="C98" s="67" t="s">
        <v>31</v>
      </c>
      <c r="D98" s="67" t="s">
        <v>31</v>
      </c>
      <c r="E98" s="68" t="s">
        <v>31</v>
      </c>
      <c r="F98" s="67" t="s">
        <v>31</v>
      </c>
      <c r="G98" s="67" t="s">
        <v>31</v>
      </c>
      <c r="H98" s="67" t="s">
        <v>31</v>
      </c>
      <c r="I98" s="74" t="s">
        <v>31</v>
      </c>
      <c r="J98" s="75" t="s">
        <v>31</v>
      </c>
      <c r="K98" s="75" t="s">
        <v>31</v>
      </c>
      <c r="L98" s="75" t="s">
        <v>31</v>
      </c>
      <c r="M98" s="75" t="s">
        <v>31</v>
      </c>
      <c r="N98" s="75" t="s">
        <v>31</v>
      </c>
      <c r="O98" s="75"/>
      <c r="P98" s="75"/>
      <c r="Q98" s="57">
        <v>7</v>
      </c>
      <c r="R98" s="70" t="s">
        <v>31</v>
      </c>
      <c r="S98" s="70" t="s">
        <v>31</v>
      </c>
      <c r="T98" s="71" t="s">
        <v>31</v>
      </c>
      <c r="U98" s="70" t="s">
        <v>31</v>
      </c>
      <c r="V98" s="70" t="s">
        <v>31</v>
      </c>
      <c r="W98" s="70" t="s">
        <v>31</v>
      </c>
      <c r="X98" s="70" t="s">
        <v>31</v>
      </c>
      <c r="Y98" s="70" t="s">
        <v>31</v>
      </c>
      <c r="Z98" s="70" t="s">
        <v>31</v>
      </c>
      <c r="AA98" s="70" t="s">
        <v>31</v>
      </c>
      <c r="AB98" s="70" t="s">
        <v>31</v>
      </c>
      <c r="AC98" s="70" t="s">
        <v>31</v>
      </c>
      <c r="AD98" s="70" t="s">
        <v>31</v>
      </c>
      <c r="AE98" s="70" t="s">
        <v>31</v>
      </c>
      <c r="AF98" s="70" t="s">
        <v>31</v>
      </c>
      <c r="AG98" s="70" t="s">
        <v>31</v>
      </c>
      <c r="AH98" s="70" t="s">
        <v>31</v>
      </c>
      <c r="AI98" s="70" t="s">
        <v>31</v>
      </c>
      <c r="AJ98" s="70" t="s">
        <v>31</v>
      </c>
      <c r="AK98" s="70" t="s">
        <v>31</v>
      </c>
      <c r="AL98" s="70" t="s">
        <v>31</v>
      </c>
      <c r="AM98" s="70" t="s">
        <v>31</v>
      </c>
      <c r="AN98" s="70" t="s">
        <v>31</v>
      </c>
      <c r="AO98" s="70" t="s">
        <v>31</v>
      </c>
      <c r="AP98" s="70" t="s">
        <v>31</v>
      </c>
      <c r="AQ98" s="70" t="s">
        <v>31</v>
      </c>
      <c r="AR98" s="70" t="s">
        <v>31</v>
      </c>
      <c r="AS98" s="70" t="s">
        <v>31</v>
      </c>
      <c r="AT98" s="70" t="s">
        <v>31</v>
      </c>
      <c r="AU98" s="70" t="s">
        <v>31</v>
      </c>
      <c r="AV98" s="70" t="s">
        <v>31</v>
      </c>
      <c r="AW98" s="70" t="s">
        <v>31</v>
      </c>
      <c r="AX98" s="70" t="s">
        <v>31</v>
      </c>
      <c r="AY98" s="70" t="s">
        <v>31</v>
      </c>
      <c r="AZ98" s="70" t="s">
        <v>31</v>
      </c>
      <c r="BA98" s="70" t="s">
        <v>31</v>
      </c>
      <c r="BB98" s="75" t="s">
        <v>31</v>
      </c>
      <c r="BC98" s="70" t="s">
        <v>31</v>
      </c>
      <c r="BD98" s="70"/>
    </row>
    <row r="99" spans="1:57" ht="12.75" customHeight="1">
      <c r="A99" s="1" t="str">
        <f>pivot!A68</f>
        <v>WENTWORTH</v>
      </c>
      <c r="B99" s="66" t="s">
        <v>42</v>
      </c>
      <c r="C99" s="54">
        <v>4.4585987261146494E-2</v>
      </c>
      <c r="D99" s="54">
        <v>5.6338028169014086E-2</v>
      </c>
      <c r="E99" s="55">
        <v>8.0924855491329481E-2</v>
      </c>
      <c r="F99" s="54">
        <v>8.2191780821917804E-2</v>
      </c>
      <c r="G99" s="54">
        <v>3.8461538461538464E-2</v>
      </c>
      <c r="H99" s="54">
        <f>+W99/AV99</f>
        <v>4.7945205479452052E-2</v>
      </c>
      <c r="I99" s="56">
        <f t="shared" si="15"/>
        <v>2.6622296173044926E-2</v>
      </c>
      <c r="J99" s="56">
        <f>+Y99/AX99</f>
        <v>1.06951871657754E-2</v>
      </c>
      <c r="K99" s="56">
        <f t="shared" si="16"/>
        <v>3.5714285714285712E-2</v>
      </c>
      <c r="L99" s="56">
        <v>4.4850498338870434E-2</v>
      </c>
      <c r="M99" s="56">
        <v>5.2677787532923619E-2</v>
      </c>
      <c r="N99" s="56">
        <v>4.659949622166247E-2</v>
      </c>
      <c r="O99" s="56">
        <v>1.7021276595744681E-2</v>
      </c>
      <c r="P99" s="56">
        <f>pivot!B68</f>
        <v>1.5974440894568689E-2</v>
      </c>
      <c r="Q99" s="69" t="s">
        <v>42</v>
      </c>
      <c r="R99" s="58">
        <v>14</v>
      </c>
      <c r="S99" s="58">
        <v>20</v>
      </c>
      <c r="T99" s="59">
        <v>28</v>
      </c>
      <c r="U99" s="58">
        <v>24</v>
      </c>
      <c r="V99" s="58">
        <f>7+5</f>
        <v>12</v>
      </c>
      <c r="W99" s="58">
        <v>14</v>
      </c>
      <c r="X99" s="58">
        <v>16</v>
      </c>
      <c r="Y99" s="58">
        <v>6</v>
      </c>
      <c r="Z99" s="58">
        <v>23</v>
      </c>
      <c r="AA99" s="94" t="s">
        <v>31</v>
      </c>
      <c r="AB99" s="2">
        <v>265</v>
      </c>
      <c r="AC99" s="2">
        <v>232</v>
      </c>
      <c r="AD99" s="2">
        <v>236</v>
      </c>
      <c r="AE99" s="52" t="s">
        <v>31</v>
      </c>
      <c r="AF99" s="2">
        <v>291</v>
      </c>
      <c r="AG99" s="2">
        <v>314</v>
      </c>
      <c r="AH99" s="2">
        <v>366</v>
      </c>
      <c r="AI99" s="2">
        <v>314</v>
      </c>
      <c r="AJ99" s="2">
        <v>331</v>
      </c>
      <c r="AK99" s="2">
        <v>320</v>
      </c>
      <c r="AM99" s="2">
        <v>177</v>
      </c>
      <c r="AN99" s="2">
        <v>765</v>
      </c>
      <c r="AO99" s="2">
        <f>201+463</f>
        <v>664</v>
      </c>
      <c r="AP99" s="2">
        <f>269-2</f>
        <v>267</v>
      </c>
      <c r="AQ99" s="2">
        <f>125+189</f>
        <v>314</v>
      </c>
      <c r="AR99" s="60">
        <f>150+205</f>
        <v>355</v>
      </c>
      <c r="AS99" s="60">
        <f>161+185</f>
        <v>346</v>
      </c>
      <c r="AT99" s="60">
        <v>292</v>
      </c>
      <c r="AU99" s="60">
        <f>312-0</f>
        <v>312</v>
      </c>
      <c r="AV99" s="2">
        <v>292</v>
      </c>
      <c r="AW99" s="2">
        <v>601</v>
      </c>
      <c r="AX99" s="2">
        <v>561</v>
      </c>
      <c r="AY99" s="2">
        <v>644</v>
      </c>
      <c r="AZ99" s="2">
        <v>27</v>
      </c>
      <c r="BA99" s="2">
        <v>60</v>
      </c>
      <c r="BB99" s="2">
        <v>1139</v>
      </c>
      <c r="BC99" s="2">
        <v>74</v>
      </c>
      <c r="BD99" s="2">
        <v>16</v>
      </c>
      <c r="BE99" s="2">
        <f>pivot!C68</f>
        <v>15</v>
      </c>
    </row>
    <row r="100" spans="1:57" ht="12.75" customHeight="1">
      <c r="A100" s="52" t="s">
        <v>24</v>
      </c>
      <c r="B100" s="53">
        <v>4.1166380789022301E-2</v>
      </c>
      <c r="C100" s="54">
        <v>3.0769230769230771E-2</v>
      </c>
      <c r="D100" s="54">
        <v>0.14219114219114218</v>
      </c>
      <c r="E100" s="55">
        <v>0.14855072463768115</v>
      </c>
      <c r="F100" s="54">
        <v>5.8043117744610281E-2</v>
      </c>
      <c r="G100" s="54">
        <v>2.664576802507837E-2</v>
      </c>
      <c r="H100" s="54">
        <f>+W100/AV100</f>
        <v>3.015075376884422E-2</v>
      </c>
      <c r="I100" s="56">
        <f t="shared" si="15"/>
        <v>2.2598870056497175E-2</v>
      </c>
      <c r="J100" s="56">
        <f>+Y100/AX100</f>
        <v>1.5643802647412757E-2</v>
      </c>
      <c r="K100" s="56">
        <f t="shared" si="16"/>
        <v>3.3402922755741124E-2</v>
      </c>
      <c r="L100" s="56">
        <v>3.9130434782608699E-2</v>
      </c>
      <c r="M100" s="56">
        <v>4.5143638850889192E-2</v>
      </c>
      <c r="N100" s="56">
        <v>4.637832204273059E-2</v>
      </c>
      <c r="O100" s="56">
        <v>2.4819855884707767E-2</v>
      </c>
      <c r="P100" s="56">
        <f>pivot!G11</f>
        <v>2.5682182985553772E-2</v>
      </c>
      <c r="Q100" s="57">
        <f t="shared" ref="Q100:BB100" si="17">SUM(Q94:Q99)</f>
        <v>24</v>
      </c>
      <c r="R100" s="58">
        <f t="shared" si="17"/>
        <v>18</v>
      </c>
      <c r="S100" s="58">
        <f t="shared" si="17"/>
        <v>122</v>
      </c>
      <c r="T100" s="59">
        <f t="shared" si="17"/>
        <v>123</v>
      </c>
      <c r="U100" s="58">
        <f t="shared" si="17"/>
        <v>35</v>
      </c>
      <c r="V100" s="58">
        <f t="shared" si="17"/>
        <v>17</v>
      </c>
      <c r="W100" s="58">
        <f t="shared" si="17"/>
        <v>18</v>
      </c>
      <c r="X100" s="58">
        <f t="shared" si="17"/>
        <v>20</v>
      </c>
      <c r="Y100" s="58">
        <f t="shared" si="17"/>
        <v>13</v>
      </c>
      <c r="Z100" s="58">
        <f t="shared" si="17"/>
        <v>32</v>
      </c>
      <c r="AA100" s="58">
        <f t="shared" si="17"/>
        <v>324</v>
      </c>
      <c r="AB100" s="58">
        <f t="shared" si="17"/>
        <v>628</v>
      </c>
      <c r="AC100" s="58">
        <f t="shared" si="17"/>
        <v>232</v>
      </c>
      <c r="AD100" s="58">
        <f t="shared" si="17"/>
        <v>584</v>
      </c>
      <c r="AE100" s="58">
        <f t="shared" si="17"/>
        <v>0</v>
      </c>
      <c r="AF100" s="58">
        <f t="shared" si="17"/>
        <v>639</v>
      </c>
      <c r="AG100" s="58">
        <f t="shared" si="17"/>
        <v>314</v>
      </c>
      <c r="AH100" s="58">
        <f t="shared" si="17"/>
        <v>716</v>
      </c>
      <c r="AI100" s="58">
        <f t="shared" si="17"/>
        <v>314</v>
      </c>
      <c r="AJ100" s="58">
        <f t="shared" si="17"/>
        <v>679</v>
      </c>
      <c r="AK100" s="58">
        <f t="shared" si="17"/>
        <v>680</v>
      </c>
      <c r="AL100" s="58">
        <f t="shared" si="17"/>
        <v>413</v>
      </c>
      <c r="AM100" s="58">
        <f t="shared" si="17"/>
        <v>547</v>
      </c>
      <c r="AN100" s="58">
        <f t="shared" si="17"/>
        <v>1119</v>
      </c>
      <c r="AO100" s="58">
        <f t="shared" si="17"/>
        <v>984</v>
      </c>
      <c r="AP100" s="58">
        <f t="shared" si="17"/>
        <v>561</v>
      </c>
      <c r="AQ100" s="58">
        <f t="shared" si="17"/>
        <v>585</v>
      </c>
      <c r="AR100" s="58">
        <f t="shared" si="17"/>
        <v>627</v>
      </c>
      <c r="AS100" s="58">
        <f t="shared" si="17"/>
        <v>625</v>
      </c>
      <c r="AT100" s="58">
        <f t="shared" si="17"/>
        <v>603</v>
      </c>
      <c r="AU100" s="58">
        <f t="shared" si="17"/>
        <v>638</v>
      </c>
      <c r="AV100" s="58">
        <f t="shared" si="17"/>
        <v>597</v>
      </c>
      <c r="AW100" s="58">
        <f t="shared" si="17"/>
        <v>885</v>
      </c>
      <c r="AX100" s="58">
        <f t="shared" si="17"/>
        <v>831</v>
      </c>
      <c r="AY100" s="58">
        <f t="shared" si="17"/>
        <v>958</v>
      </c>
      <c r="AZ100" s="58">
        <f t="shared" si="17"/>
        <v>36</v>
      </c>
      <c r="BA100" s="58">
        <f t="shared" si="17"/>
        <v>66</v>
      </c>
      <c r="BB100" s="58">
        <f t="shared" si="17"/>
        <v>1462</v>
      </c>
      <c r="BC100" s="58">
        <v>89</v>
      </c>
      <c r="BD100" s="58">
        <f>SUM(BD94:BD99)</f>
        <v>31</v>
      </c>
      <c r="BE100" s="2">
        <f>SUM(BE94:BE99)</f>
        <v>32</v>
      </c>
    </row>
    <row r="101" spans="1:57" ht="12.75" customHeight="1">
      <c r="B101" s="53"/>
      <c r="C101" s="54"/>
      <c r="D101" s="54"/>
      <c r="E101" s="55"/>
      <c r="F101" s="54"/>
      <c r="G101" s="54"/>
      <c r="H101" s="54"/>
      <c r="I101" s="56"/>
      <c r="J101" s="56"/>
      <c r="K101" s="56"/>
      <c r="L101" s="56"/>
      <c r="M101" s="56"/>
      <c r="N101" s="56"/>
      <c r="O101" s="56"/>
      <c r="P101" s="56"/>
      <c r="Q101" s="57"/>
      <c r="R101" s="58"/>
      <c r="S101" s="58"/>
      <c r="T101" s="59"/>
      <c r="U101" s="58"/>
      <c r="V101" s="58"/>
      <c r="W101" s="58"/>
      <c r="X101" s="58"/>
      <c r="Y101" s="58"/>
      <c r="Z101" s="58"/>
      <c r="AA101" s="58"/>
      <c r="AB101" s="58"/>
      <c r="AC101" s="58"/>
      <c r="AD101" s="58"/>
      <c r="AE101" s="58"/>
      <c r="AF101" s="58"/>
      <c r="AG101" s="58"/>
      <c r="AH101" s="58"/>
      <c r="AI101" s="58"/>
      <c r="AJ101" s="58"/>
      <c r="AK101" s="58"/>
      <c r="AL101" s="58"/>
      <c r="AM101" s="58"/>
      <c r="AN101" s="58"/>
      <c r="AO101" s="58"/>
      <c r="AP101" s="58"/>
      <c r="AQ101" s="58"/>
      <c r="AR101" s="58"/>
      <c r="AS101" s="58"/>
      <c r="AT101" s="58"/>
      <c r="AU101" s="58"/>
      <c r="AV101" s="58"/>
      <c r="AW101" s="58"/>
      <c r="AX101" s="58"/>
    </row>
    <row r="102" spans="1:57" ht="20.100000000000001" customHeight="1">
      <c r="A102" s="101" t="s">
        <v>59</v>
      </c>
      <c r="B102" s="53">
        <v>0.10086935326616835</v>
      </c>
      <c r="C102" s="54">
        <v>9.2726288760694095E-2</v>
      </c>
      <c r="D102" s="54">
        <v>0.10040381161558964</v>
      </c>
      <c r="E102" s="55">
        <v>0.10373330113393121</v>
      </c>
      <c r="F102" s="54">
        <v>0.11086055380533909</v>
      </c>
      <c r="G102" s="54">
        <v>0.12074637443540624</v>
      </c>
      <c r="H102" s="54">
        <f>+W102/AV102</f>
        <v>0.1224688808581426</v>
      </c>
      <c r="I102" s="56">
        <f t="shared" si="15"/>
        <v>0.13905450846308176</v>
      </c>
      <c r="J102" s="56">
        <f>+Y102/AX102</f>
        <v>0.13776945513539635</v>
      </c>
      <c r="K102" s="56">
        <f>+Z102/AY102</f>
        <v>0.13647088041723582</v>
      </c>
      <c r="L102" s="56">
        <v>0.13758999404795877</v>
      </c>
      <c r="M102" s="56">
        <v>0.13601067124005525</v>
      </c>
      <c r="N102" s="56">
        <v>0.13609066939514383</v>
      </c>
      <c r="O102" s="56">
        <v>0.13960774770527085</v>
      </c>
      <c r="P102" s="56">
        <f>pivot!G9</f>
        <v>0.1346704871060172</v>
      </c>
      <c r="Q102" s="57">
        <f t="shared" ref="Q102:V102" si="18">SUM(Q90+Q100)</f>
        <v>2483</v>
      </c>
      <c r="R102" s="64">
        <f t="shared" si="18"/>
        <v>8053</v>
      </c>
      <c r="S102" s="64">
        <f t="shared" si="18"/>
        <v>8777</v>
      </c>
      <c r="T102" s="65">
        <f t="shared" si="18"/>
        <v>9450</v>
      </c>
      <c r="U102" s="64">
        <f t="shared" si="18"/>
        <v>10029</v>
      </c>
      <c r="V102" s="64">
        <f t="shared" si="18"/>
        <v>11415</v>
      </c>
      <c r="W102" s="64">
        <f>SUM(W90+W100)</f>
        <v>12810</v>
      </c>
      <c r="X102" s="64">
        <f>SUM(X90+X100)</f>
        <v>14763</v>
      </c>
      <c r="Y102" s="64">
        <f>SUM(Y90+Y100)</f>
        <v>15965</v>
      </c>
      <c r="Z102" s="64">
        <f t="shared" ref="Z102:AZ102" si="19">SUM(Z90+Z100)</f>
        <v>16485</v>
      </c>
      <c r="AA102" s="64">
        <f t="shared" si="19"/>
        <v>24357</v>
      </c>
      <c r="AB102" s="64">
        <f t="shared" si="19"/>
        <v>54406</v>
      </c>
      <c r="AC102" s="64">
        <f t="shared" si="19"/>
        <v>22675</v>
      </c>
      <c r="AD102" s="64">
        <f t="shared" si="19"/>
        <v>55085</v>
      </c>
      <c r="AE102" s="64">
        <f t="shared" si="19"/>
        <v>17544</v>
      </c>
      <c r="AF102" s="64">
        <f t="shared" si="19"/>
        <v>62774</v>
      </c>
      <c r="AG102" s="64">
        <f t="shared" si="19"/>
        <v>62403</v>
      </c>
      <c r="AH102" s="64">
        <f t="shared" si="19"/>
        <v>65965</v>
      </c>
      <c r="AI102" s="64">
        <f t="shared" si="19"/>
        <v>71532</v>
      </c>
      <c r="AJ102" s="64">
        <f t="shared" si="19"/>
        <v>75669</v>
      </c>
      <c r="AK102" s="64">
        <f t="shared" si="19"/>
        <v>77396</v>
      </c>
      <c r="AL102" s="64">
        <f t="shared" si="19"/>
        <v>80314</v>
      </c>
      <c r="AM102" s="64">
        <f t="shared" si="19"/>
        <v>79349</v>
      </c>
      <c r="AN102" s="64">
        <f t="shared" si="19"/>
        <v>78792</v>
      </c>
      <c r="AO102" s="64">
        <f t="shared" si="19"/>
        <v>77827</v>
      </c>
      <c r="AP102" s="64">
        <f t="shared" si="19"/>
        <v>81511</v>
      </c>
      <c r="AQ102" s="64">
        <f t="shared" si="19"/>
        <v>86847</v>
      </c>
      <c r="AR102" s="64">
        <f t="shared" si="19"/>
        <v>87186</v>
      </c>
      <c r="AS102" s="64">
        <f t="shared" si="19"/>
        <v>90896</v>
      </c>
      <c r="AT102" s="64">
        <f t="shared" si="19"/>
        <v>90465</v>
      </c>
      <c r="AU102" s="64">
        <f t="shared" si="19"/>
        <v>94537</v>
      </c>
      <c r="AV102" s="64">
        <f t="shared" si="19"/>
        <v>104598</v>
      </c>
      <c r="AW102" s="64">
        <f t="shared" si="19"/>
        <v>106167</v>
      </c>
      <c r="AX102" s="64">
        <f t="shared" si="19"/>
        <v>115882</v>
      </c>
      <c r="AY102" s="64">
        <f t="shared" si="19"/>
        <v>120795</v>
      </c>
      <c r="AZ102" s="64">
        <f t="shared" si="19"/>
        <v>16875</v>
      </c>
      <c r="BA102" s="64">
        <f>SUM(BA90+BA100)</f>
        <v>17130</v>
      </c>
      <c r="BB102" s="64">
        <f>SUM(BB90+BB100)</f>
        <v>125946</v>
      </c>
      <c r="BC102" s="64">
        <f>SUM(BC90+BC100)</f>
        <v>17291</v>
      </c>
      <c r="BD102" s="64">
        <f>BD100+BD90</f>
        <v>18358</v>
      </c>
      <c r="BE102" s="58">
        <f>BE90+BE100</f>
        <v>18189</v>
      </c>
    </row>
    <row r="103" spans="1:57" ht="12.75" customHeight="1">
      <c r="B103" s="53"/>
      <c r="C103" s="54"/>
      <c r="D103" s="54"/>
      <c r="E103" s="55"/>
      <c r="F103" s="54"/>
      <c r="G103" s="54"/>
      <c r="H103" s="54"/>
      <c r="I103" s="56"/>
      <c r="J103" s="56"/>
      <c r="K103" s="56"/>
      <c r="L103" s="56"/>
      <c r="M103" s="56"/>
      <c r="N103" s="56"/>
      <c r="O103" s="56"/>
      <c r="P103" s="56"/>
      <c r="Q103" s="57"/>
      <c r="R103" s="58"/>
      <c r="S103" s="58"/>
      <c r="T103" s="59"/>
      <c r="U103" s="58"/>
      <c r="V103" s="58"/>
      <c r="W103" s="58"/>
      <c r="X103" s="58"/>
      <c r="Y103" s="58"/>
      <c r="Z103" s="58"/>
      <c r="AA103" s="58"/>
      <c r="AB103" s="58"/>
      <c r="AC103" s="58"/>
      <c r="AD103" s="58"/>
      <c r="AE103" s="58"/>
      <c r="AF103" s="58"/>
      <c r="AG103" s="58"/>
      <c r="AH103" s="58"/>
      <c r="AI103" s="58"/>
      <c r="AJ103" s="58"/>
      <c r="AK103" s="58"/>
      <c r="AL103" s="58"/>
      <c r="AM103" s="58"/>
      <c r="AN103" s="58"/>
      <c r="AO103" s="58"/>
      <c r="AP103" s="58"/>
      <c r="AQ103" s="58"/>
      <c r="AR103" s="58"/>
      <c r="AS103" s="58"/>
      <c r="AT103" s="58"/>
      <c r="AU103" s="58"/>
      <c r="AV103" s="58"/>
      <c r="AW103" s="58"/>
      <c r="AX103" s="58"/>
      <c r="AY103" s="58"/>
      <c r="AZ103" s="58"/>
      <c r="BA103" s="58"/>
      <c r="BC103" s="58"/>
      <c r="BD103" s="58"/>
    </row>
    <row r="104" spans="1:57" ht="12.75" customHeight="1" thickBot="1">
      <c r="A104" s="5" t="s">
        <v>60</v>
      </c>
      <c r="B104" s="102">
        <v>9.3149686413266319E-2</v>
      </c>
      <c r="C104" s="54">
        <v>8.9885246624252485E-2</v>
      </c>
      <c r="D104" s="54">
        <v>9.4601251883621187E-2</v>
      </c>
      <c r="E104" s="103">
        <v>9.4977312941258912E-2</v>
      </c>
      <c r="F104" s="54">
        <v>9.9670380865977071E-2</v>
      </c>
      <c r="G104" s="54">
        <v>0.10270569684777142</v>
      </c>
      <c r="H104" s="54">
        <f>+W104/AV104</f>
        <v>0.10369991881055901</v>
      </c>
      <c r="I104" s="104">
        <f t="shared" si="15"/>
        <v>0.114897507490027</v>
      </c>
      <c r="J104" s="56">
        <f>+Y104/AX104</f>
        <v>0.10926241439522096</v>
      </c>
      <c r="K104" s="83">
        <f>+Z104/AY104</f>
        <v>0.11148036878502408</v>
      </c>
      <c r="L104" s="104">
        <v>0.112669367557648</v>
      </c>
      <c r="M104" s="56">
        <v>0.11223864176803938</v>
      </c>
      <c r="N104" s="56">
        <v>0.11426338984575257</v>
      </c>
      <c r="O104" s="56">
        <v>0.11919165130680387</v>
      </c>
      <c r="P104" s="56">
        <f>pivot!G13</f>
        <v>0.12039408766252026</v>
      </c>
      <c r="Q104" s="105">
        <f>Q102+Q51</f>
        <v>18184</v>
      </c>
      <c r="R104" s="64">
        <f>R102+R51</f>
        <v>24470</v>
      </c>
      <c r="S104" s="64">
        <f>S102+S51</f>
        <v>26116</v>
      </c>
      <c r="T104" s="106">
        <f>T102+T51</f>
        <v>27107</v>
      </c>
      <c r="U104" s="64">
        <f>U102+U51</f>
        <v>28454</v>
      </c>
      <c r="V104" s="64">
        <f>V102+V51</f>
        <v>30223</v>
      </c>
      <c r="W104" s="64">
        <f>W102+W51</f>
        <v>33081</v>
      </c>
      <c r="X104" s="64">
        <f>X102+X51</f>
        <v>34937</v>
      </c>
      <c r="Y104" s="64">
        <f>Y102+Y51</f>
        <v>36105</v>
      </c>
      <c r="Z104" s="64">
        <f>Z102+Z51</f>
        <v>37738</v>
      </c>
      <c r="AA104" s="64">
        <f>AA102+AA51</f>
        <v>196897</v>
      </c>
      <c r="AB104" s="64">
        <f>AB102+AB51</f>
        <v>227962</v>
      </c>
      <c r="AC104" s="64">
        <f>AC102+AC51</f>
        <v>199390</v>
      </c>
      <c r="AD104" s="64">
        <f>AD102+AD51</f>
        <v>224847</v>
      </c>
      <c r="AE104" s="64">
        <f>AE102+AE51</f>
        <v>184782</v>
      </c>
      <c r="AF104" s="64">
        <f>AF102+AF51</f>
        <v>231717</v>
      </c>
      <c r="AG104" s="64">
        <f>AG102+AG51</f>
        <v>235761</v>
      </c>
      <c r="AH104" s="64">
        <f>AH102+AH51</f>
        <v>247499</v>
      </c>
      <c r="AI104" s="64">
        <f>AI102+AI51</f>
        <v>263850</v>
      </c>
      <c r="AJ104" s="64">
        <f>AJ102+AJ51</f>
        <v>275786</v>
      </c>
      <c r="AK104" s="64">
        <f>AK102+AK51</f>
        <v>281740</v>
      </c>
      <c r="AL104" s="64">
        <f>AL102+AL51</f>
        <v>282959</v>
      </c>
      <c r="AM104" s="64">
        <f>AM102+AM51</f>
        <v>276283</v>
      </c>
      <c r="AN104" s="64">
        <f>AN102+AN51</f>
        <v>265187</v>
      </c>
      <c r="AO104" s="64">
        <f>AO102+AO51</f>
        <v>261475</v>
      </c>
      <c r="AP104" s="64">
        <f>AP102+AP51</f>
        <v>265516</v>
      </c>
      <c r="AQ104" s="64">
        <f>AQ102+AQ51</f>
        <v>272236</v>
      </c>
      <c r="AR104" s="64">
        <f>AR102+AR51</f>
        <v>275833</v>
      </c>
      <c r="AS104" s="64">
        <f>AS102+AS51</f>
        <v>285202</v>
      </c>
      <c r="AT104" s="64">
        <f>AT102+AT51</f>
        <v>285481</v>
      </c>
      <c r="AU104" s="64">
        <f>AU102+AU51</f>
        <v>294268</v>
      </c>
      <c r="AV104" s="64">
        <f>AV102+AV51</f>
        <v>319007</v>
      </c>
      <c r="AW104" s="64">
        <f>AW102+AW51</f>
        <v>304071</v>
      </c>
      <c r="AX104" s="64">
        <f>AX102+AX51</f>
        <v>330443</v>
      </c>
      <c r="AY104" s="64">
        <f>AY102+AY51</f>
        <v>338517</v>
      </c>
      <c r="AZ104" s="87">
        <f>AZ102+AZ51</f>
        <v>38434</v>
      </c>
      <c r="BA104" s="87">
        <f>BA102+BA51</f>
        <v>39176</v>
      </c>
      <c r="BB104" s="87">
        <f>BB102+BB51</f>
        <v>349042</v>
      </c>
      <c r="BC104" s="87">
        <f>BC102+BC51</f>
        <v>40654</v>
      </c>
      <c r="BD104" s="87">
        <v>44943</v>
      </c>
      <c r="BE104" s="127">
        <f>BE102+BE51</f>
        <v>47096</v>
      </c>
    </row>
    <row r="105" spans="1:57" ht="12.75" customHeight="1" thickTop="1">
      <c r="A105" s="107" t="s">
        <v>61</v>
      </c>
      <c r="B105" s="8"/>
      <c r="C105" s="108"/>
      <c r="D105" s="108"/>
      <c r="E105" s="108"/>
      <c r="F105" s="108"/>
      <c r="G105" s="108"/>
      <c r="H105" s="108"/>
      <c r="I105" s="108"/>
      <c r="J105" s="108"/>
      <c r="K105" s="90"/>
      <c r="L105" s="108"/>
      <c r="M105" s="108"/>
      <c r="N105" s="108"/>
      <c r="O105" s="108"/>
      <c r="P105" s="108"/>
      <c r="Q105" s="8"/>
      <c r="R105" s="8"/>
      <c r="S105" s="8"/>
      <c r="T105" s="8"/>
      <c r="U105" s="8"/>
      <c r="V105" s="8"/>
      <c r="W105" s="8"/>
      <c r="X105" s="8"/>
      <c r="Y105" s="8"/>
      <c r="Z105" s="8"/>
    </row>
    <row r="106" spans="1:57" ht="12.75" customHeight="1">
      <c r="A106" s="52" t="s">
        <v>36</v>
      </c>
      <c r="C106" s="89"/>
      <c r="D106" s="89"/>
      <c r="E106" s="89"/>
      <c r="F106" s="89"/>
      <c r="G106" s="89"/>
      <c r="H106" s="89"/>
      <c r="I106" s="90"/>
      <c r="J106" s="90"/>
      <c r="K106" s="90"/>
      <c r="L106" s="90"/>
      <c r="M106" s="90"/>
      <c r="N106" s="90"/>
      <c r="O106" s="90"/>
      <c r="P106" s="90"/>
    </row>
    <row r="107" spans="1:57" ht="12.75" customHeight="1">
      <c r="A107" s="1" t="s">
        <v>37</v>
      </c>
      <c r="C107" s="89"/>
      <c r="D107" s="89"/>
      <c r="E107" s="89"/>
      <c r="F107" s="89"/>
      <c r="G107" s="89"/>
      <c r="H107" s="89"/>
      <c r="I107" s="90"/>
      <c r="J107" s="90"/>
      <c r="K107" s="90"/>
      <c r="L107" s="90"/>
      <c r="M107" s="90"/>
      <c r="N107" s="90"/>
      <c r="O107" s="90"/>
      <c r="P107" s="90"/>
    </row>
    <row r="108" spans="1:57" ht="12.75" customHeight="1">
      <c r="A108" s="52" t="s">
        <v>38</v>
      </c>
      <c r="C108" s="89"/>
      <c r="D108" s="89"/>
      <c r="E108" s="89"/>
      <c r="F108" s="89"/>
      <c r="G108" s="89"/>
      <c r="H108" s="89"/>
      <c r="I108" s="90"/>
      <c r="J108" s="90"/>
      <c r="K108" s="90"/>
      <c r="L108" s="90"/>
      <c r="M108" s="90"/>
      <c r="N108" s="90"/>
      <c r="O108" s="90"/>
      <c r="P108" s="90"/>
    </row>
    <row r="109" spans="1:57" ht="12.75" customHeight="1">
      <c r="A109" s="109"/>
      <c r="C109" s="89"/>
      <c r="D109" s="89"/>
      <c r="E109" s="89"/>
      <c r="F109" s="89"/>
      <c r="G109" s="89"/>
      <c r="H109" s="89"/>
      <c r="I109" s="90"/>
      <c r="J109" s="90"/>
      <c r="K109" s="90"/>
      <c r="L109" s="90"/>
      <c r="M109" s="90"/>
      <c r="N109" s="90"/>
      <c r="O109" s="90"/>
      <c r="P109" s="90"/>
    </row>
    <row r="110" spans="1:57" ht="12.75" customHeight="1">
      <c r="C110" s="89"/>
      <c r="D110" s="89"/>
      <c r="E110" s="89"/>
      <c r="F110" s="89"/>
      <c r="G110" s="89"/>
      <c r="H110" s="89"/>
      <c r="I110" s="90"/>
      <c r="J110" s="90"/>
      <c r="K110" s="90"/>
      <c r="L110" s="90"/>
      <c r="M110" s="90"/>
      <c r="N110" s="90"/>
      <c r="O110" s="90"/>
      <c r="P110" s="90"/>
    </row>
    <row r="111" spans="1:57" ht="12.75" customHeight="1">
      <c r="C111" s="89"/>
      <c r="D111" s="89"/>
      <c r="E111" s="89"/>
      <c r="F111" s="89"/>
      <c r="G111" s="89"/>
      <c r="H111" s="89"/>
      <c r="I111" s="90"/>
      <c r="J111" s="90"/>
      <c r="K111" s="90"/>
      <c r="L111" s="90"/>
      <c r="M111" s="90"/>
      <c r="N111" s="90"/>
      <c r="O111" s="90"/>
      <c r="P111" s="90"/>
    </row>
    <row r="112" spans="1:57" ht="12.75" customHeight="1">
      <c r="C112" s="89"/>
      <c r="D112" s="89"/>
      <c r="E112" s="89"/>
      <c r="F112" s="89"/>
      <c r="G112" s="89"/>
      <c r="H112" s="89"/>
      <c r="I112" s="90"/>
      <c r="J112" s="90"/>
      <c r="K112" s="90"/>
      <c r="L112" s="90"/>
      <c r="M112" s="90"/>
      <c r="N112" s="90"/>
      <c r="O112" s="90"/>
      <c r="P112" s="90"/>
    </row>
    <row r="113" spans="3:16" ht="12.75" customHeight="1">
      <c r="C113" s="89"/>
      <c r="D113" s="89"/>
      <c r="E113" s="89"/>
      <c r="F113" s="89"/>
      <c r="G113" s="89"/>
      <c r="H113" s="89"/>
      <c r="I113" s="90"/>
      <c r="J113" s="90"/>
      <c r="K113" s="90"/>
      <c r="L113" s="90"/>
      <c r="M113" s="90"/>
      <c r="N113" s="90"/>
      <c r="O113" s="90"/>
      <c r="P113" s="90"/>
    </row>
    <row r="114" spans="3:16" ht="12.75" customHeight="1">
      <c r="C114" s="89"/>
      <c r="D114" s="89"/>
      <c r="E114" s="89"/>
      <c r="F114" s="89"/>
      <c r="G114" s="89"/>
      <c r="H114" s="89"/>
      <c r="I114" s="90"/>
      <c r="J114" s="90"/>
      <c r="K114" s="90"/>
      <c r="L114" s="90"/>
      <c r="M114" s="90"/>
      <c r="N114" s="90"/>
      <c r="O114" s="90"/>
      <c r="P114" s="90"/>
    </row>
    <row r="115" spans="3:16" ht="12.75" customHeight="1">
      <c r="C115" s="89"/>
      <c r="D115" s="89"/>
      <c r="E115" s="89"/>
      <c r="F115" s="89"/>
      <c r="G115" s="89"/>
      <c r="H115" s="89"/>
      <c r="I115" s="90"/>
      <c r="J115" s="90"/>
      <c r="K115" s="90"/>
      <c r="L115" s="90"/>
      <c r="M115" s="90"/>
      <c r="N115" s="90"/>
      <c r="O115" s="90"/>
      <c r="P115" s="90"/>
    </row>
    <row r="116" spans="3:16" ht="12.75" customHeight="1">
      <c r="C116" s="89"/>
      <c r="D116" s="89"/>
      <c r="E116" s="89"/>
      <c r="F116" s="89"/>
      <c r="G116" s="89"/>
      <c r="H116" s="89"/>
      <c r="I116" s="90"/>
      <c r="J116" s="90"/>
      <c r="K116" s="90"/>
      <c r="L116" s="90"/>
      <c r="M116" s="90"/>
      <c r="N116" s="90"/>
      <c r="O116" s="90"/>
      <c r="P116" s="90"/>
    </row>
    <row r="117" spans="3:16" ht="12.75" customHeight="1">
      <c r="C117" s="89"/>
      <c r="D117" s="89"/>
      <c r="E117" s="89"/>
      <c r="F117" s="89"/>
      <c r="G117" s="89"/>
      <c r="H117" s="89"/>
      <c r="I117" s="90"/>
      <c r="J117" s="90"/>
      <c r="K117" s="90"/>
      <c r="L117" s="90"/>
      <c r="M117" s="90"/>
      <c r="N117" s="90"/>
      <c r="O117" s="90"/>
      <c r="P117" s="90"/>
    </row>
    <row r="118" spans="3:16" ht="12.75" customHeight="1">
      <c r="C118" s="89"/>
      <c r="D118" s="89"/>
      <c r="E118" s="89"/>
      <c r="F118" s="89"/>
      <c r="G118" s="89"/>
      <c r="H118" s="89"/>
      <c r="I118" s="90"/>
      <c r="J118" s="90"/>
      <c r="K118" s="90"/>
      <c r="L118" s="90"/>
      <c r="M118" s="90"/>
      <c r="N118" s="90"/>
      <c r="O118" s="90"/>
      <c r="P118" s="90"/>
    </row>
    <row r="119" spans="3:16" ht="12.75" customHeight="1">
      <c r="C119" s="89"/>
      <c r="D119" s="89"/>
      <c r="E119" s="89"/>
      <c r="F119" s="89"/>
      <c r="G119" s="89"/>
      <c r="H119" s="89"/>
      <c r="I119" s="90"/>
      <c r="J119" s="90"/>
      <c r="K119" s="90"/>
      <c r="L119" s="90"/>
      <c r="M119" s="90"/>
      <c r="N119" s="90"/>
      <c r="O119" s="90"/>
      <c r="P119" s="90"/>
    </row>
    <row r="120" spans="3:16" ht="12.75" customHeight="1">
      <c r="C120" s="89"/>
      <c r="D120" s="89"/>
      <c r="E120" s="89"/>
      <c r="F120" s="89"/>
      <c r="G120" s="89"/>
      <c r="H120" s="89"/>
      <c r="I120" s="90"/>
      <c r="J120" s="90"/>
      <c r="K120" s="90"/>
      <c r="L120" s="90"/>
      <c r="M120" s="90"/>
      <c r="N120" s="90"/>
      <c r="O120" s="90"/>
      <c r="P120" s="90"/>
    </row>
    <row r="121" spans="3:16" ht="12.75" customHeight="1">
      <c r="C121" s="89"/>
      <c r="D121" s="89"/>
      <c r="E121" s="89"/>
      <c r="F121" s="89"/>
      <c r="G121" s="89"/>
      <c r="H121" s="89"/>
      <c r="I121" s="90"/>
      <c r="J121" s="90"/>
      <c r="K121" s="90"/>
      <c r="L121" s="90"/>
      <c r="M121" s="90"/>
      <c r="N121" s="90"/>
      <c r="O121" s="90"/>
      <c r="P121" s="90"/>
    </row>
    <row r="122" spans="3:16" ht="12.75" customHeight="1">
      <c r="C122" s="89"/>
      <c r="D122" s="89"/>
      <c r="E122" s="89"/>
      <c r="F122" s="89"/>
      <c r="G122" s="89"/>
      <c r="H122" s="89"/>
      <c r="I122" s="90"/>
      <c r="J122" s="90"/>
      <c r="K122" s="90"/>
      <c r="L122" s="90"/>
      <c r="M122" s="90"/>
      <c r="N122" s="90"/>
      <c r="O122" s="90"/>
      <c r="P122" s="90"/>
    </row>
    <row r="123" spans="3:16" ht="12.75" customHeight="1">
      <c r="C123" s="89"/>
      <c r="D123" s="89"/>
      <c r="E123" s="89"/>
      <c r="F123" s="89"/>
      <c r="G123" s="89"/>
      <c r="H123" s="89"/>
      <c r="I123" s="90"/>
      <c r="J123" s="90"/>
      <c r="K123" s="90"/>
      <c r="L123" s="90"/>
      <c r="M123" s="90"/>
      <c r="N123" s="90"/>
      <c r="O123" s="90"/>
      <c r="P123" s="90"/>
    </row>
    <row r="124" spans="3:16" ht="12.75" customHeight="1">
      <c r="C124" s="89"/>
      <c r="D124" s="89"/>
      <c r="E124" s="89"/>
      <c r="F124" s="89"/>
      <c r="G124" s="89"/>
      <c r="H124" s="89"/>
      <c r="I124" s="90"/>
      <c r="J124" s="90"/>
      <c r="K124" s="90"/>
      <c r="L124" s="90"/>
      <c r="M124" s="90"/>
      <c r="N124" s="90"/>
      <c r="O124" s="90"/>
      <c r="P124" s="90"/>
    </row>
    <row r="125" spans="3:16" ht="12.75" customHeight="1">
      <c r="C125" s="89"/>
      <c r="D125" s="89"/>
      <c r="E125" s="89"/>
      <c r="F125" s="89"/>
      <c r="G125" s="89"/>
      <c r="H125" s="89"/>
      <c r="I125" s="90"/>
      <c r="J125" s="90"/>
      <c r="K125" s="90"/>
      <c r="L125" s="90"/>
      <c r="M125" s="90"/>
      <c r="N125" s="90"/>
      <c r="O125" s="90"/>
      <c r="P125" s="90"/>
    </row>
    <row r="126" spans="3:16" ht="12.75" customHeight="1">
      <c r="C126" s="89"/>
      <c r="D126" s="89"/>
      <c r="E126" s="89"/>
      <c r="F126" s="89"/>
      <c r="G126" s="89"/>
      <c r="H126" s="89"/>
      <c r="I126" s="90"/>
      <c r="J126" s="90"/>
      <c r="K126" s="90"/>
      <c r="L126" s="90"/>
      <c r="M126" s="90"/>
      <c r="N126" s="90"/>
      <c r="O126" s="90"/>
      <c r="P126" s="90"/>
    </row>
    <row r="127" spans="3:16" ht="12.75" customHeight="1">
      <c r="C127" s="89"/>
      <c r="D127" s="89"/>
      <c r="E127" s="89"/>
      <c r="F127" s="89"/>
      <c r="G127" s="89"/>
      <c r="H127" s="89"/>
      <c r="I127" s="90"/>
      <c r="J127" s="90"/>
      <c r="K127" s="90"/>
      <c r="L127" s="90"/>
      <c r="M127" s="90"/>
      <c r="N127" s="90"/>
      <c r="O127" s="90"/>
      <c r="P127" s="90"/>
    </row>
    <row r="128" spans="3:16" ht="12.75" customHeight="1">
      <c r="C128" s="89"/>
      <c r="D128" s="89"/>
      <c r="E128" s="89"/>
      <c r="F128" s="89"/>
      <c r="G128" s="89"/>
      <c r="H128" s="89"/>
      <c r="I128" s="90"/>
      <c r="J128" s="90"/>
      <c r="K128" s="90"/>
      <c r="L128" s="90"/>
      <c r="M128" s="90"/>
      <c r="N128" s="90"/>
      <c r="O128" s="90"/>
      <c r="P128" s="90"/>
    </row>
    <row r="129" spans="3:16" ht="12.75" customHeight="1">
      <c r="C129" s="89"/>
      <c r="D129" s="89"/>
      <c r="E129" s="89"/>
      <c r="F129" s="89"/>
      <c r="G129" s="89"/>
      <c r="H129" s="89"/>
      <c r="I129" s="90"/>
      <c r="J129" s="90"/>
      <c r="K129" s="90"/>
      <c r="L129" s="90"/>
      <c r="M129" s="90"/>
      <c r="N129" s="90"/>
      <c r="O129" s="90"/>
      <c r="P129" s="90"/>
    </row>
    <row r="130" spans="3:16" ht="12.75" customHeight="1">
      <c r="C130" s="89"/>
      <c r="D130" s="89"/>
      <c r="E130" s="89"/>
      <c r="F130" s="89"/>
      <c r="G130" s="89"/>
      <c r="H130" s="89"/>
      <c r="I130" s="90"/>
      <c r="J130" s="90"/>
      <c r="K130" s="90"/>
      <c r="L130" s="90"/>
      <c r="M130" s="90"/>
      <c r="N130" s="90"/>
      <c r="O130" s="90"/>
      <c r="P130" s="90"/>
    </row>
    <row r="131" spans="3:16" ht="12.75" customHeight="1">
      <c r="C131" s="89"/>
      <c r="D131" s="89"/>
      <c r="E131" s="89"/>
      <c r="F131" s="89"/>
      <c r="G131" s="89"/>
      <c r="H131" s="89"/>
      <c r="I131" s="90"/>
      <c r="J131" s="90"/>
      <c r="K131" s="90"/>
      <c r="L131" s="90"/>
      <c r="M131" s="90"/>
      <c r="N131" s="90"/>
      <c r="O131" s="90"/>
      <c r="P131" s="90"/>
    </row>
    <row r="132" spans="3:16" ht="12.75" customHeight="1">
      <c r="C132" s="89"/>
      <c r="D132" s="89"/>
      <c r="E132" s="89"/>
      <c r="F132" s="89"/>
      <c r="G132" s="89"/>
      <c r="H132" s="89"/>
      <c r="I132" s="90"/>
      <c r="J132" s="90"/>
      <c r="K132" s="90"/>
      <c r="L132" s="90"/>
      <c r="M132" s="90"/>
      <c r="N132" s="90"/>
      <c r="O132" s="90"/>
      <c r="P132" s="90"/>
    </row>
    <row r="133" spans="3:16" ht="12.75" customHeight="1">
      <c r="C133" s="89"/>
      <c r="D133" s="89"/>
      <c r="E133" s="89"/>
      <c r="F133" s="89"/>
      <c r="G133" s="89"/>
      <c r="H133" s="89"/>
      <c r="I133" s="90"/>
      <c r="J133" s="90"/>
      <c r="K133" s="90"/>
      <c r="L133" s="90"/>
      <c r="M133" s="90"/>
      <c r="N133" s="90"/>
      <c r="O133" s="90"/>
      <c r="P133" s="90"/>
    </row>
    <row r="134" spans="3:16" ht="12.75" customHeight="1">
      <c r="C134" s="89"/>
      <c r="D134" s="89"/>
      <c r="E134" s="89"/>
      <c r="F134" s="89"/>
      <c r="G134" s="89"/>
      <c r="H134" s="89"/>
      <c r="I134" s="90"/>
      <c r="J134" s="90"/>
      <c r="K134" s="90"/>
      <c r="L134" s="90"/>
      <c r="M134" s="90"/>
      <c r="N134" s="90"/>
      <c r="O134" s="90"/>
      <c r="P134" s="90"/>
    </row>
    <row r="135" spans="3:16" ht="12.75" customHeight="1">
      <c r="C135" s="89"/>
      <c r="D135" s="89"/>
      <c r="E135" s="89"/>
      <c r="F135" s="89"/>
      <c r="G135" s="89"/>
      <c r="H135" s="89"/>
      <c r="I135" s="90"/>
      <c r="J135" s="90"/>
      <c r="K135" s="90"/>
      <c r="L135" s="90"/>
      <c r="M135" s="90"/>
      <c r="N135" s="90"/>
      <c r="O135" s="90"/>
      <c r="P135" s="90"/>
    </row>
    <row r="136" spans="3:16" ht="12.75" customHeight="1">
      <c r="C136" s="89"/>
      <c r="D136" s="89"/>
      <c r="E136" s="89"/>
      <c r="F136" s="89"/>
      <c r="G136" s="89"/>
      <c r="H136" s="89"/>
      <c r="I136" s="90"/>
      <c r="J136" s="90"/>
      <c r="K136" s="90"/>
      <c r="L136" s="90"/>
      <c r="M136" s="90"/>
      <c r="N136" s="90"/>
      <c r="O136" s="90"/>
      <c r="P136" s="90"/>
    </row>
    <row r="137" spans="3:16" ht="12.75" customHeight="1">
      <c r="C137" s="89"/>
      <c r="D137" s="89"/>
      <c r="E137" s="89"/>
      <c r="F137" s="89"/>
      <c r="G137" s="89"/>
      <c r="H137" s="89"/>
      <c r="I137" s="90"/>
      <c r="J137" s="90"/>
      <c r="K137" s="90"/>
      <c r="L137" s="90"/>
      <c r="M137" s="90"/>
      <c r="N137" s="90"/>
      <c r="O137" s="90"/>
      <c r="P137" s="90"/>
    </row>
    <row r="138" spans="3:16" ht="12.75" customHeight="1">
      <c r="C138" s="89"/>
      <c r="D138" s="89"/>
      <c r="E138" s="89"/>
      <c r="F138" s="89"/>
      <c r="G138" s="89"/>
      <c r="H138" s="89"/>
      <c r="I138" s="90"/>
      <c r="J138" s="90"/>
      <c r="K138" s="90"/>
      <c r="L138" s="90"/>
      <c r="M138" s="90"/>
      <c r="N138" s="90"/>
      <c r="O138" s="90"/>
      <c r="P138" s="90"/>
    </row>
    <row r="139" spans="3:16" ht="12.75" customHeight="1">
      <c r="C139" s="89"/>
      <c r="D139" s="89"/>
      <c r="E139" s="89"/>
      <c r="F139" s="89"/>
      <c r="G139" s="89"/>
      <c r="H139" s="89"/>
      <c r="I139" s="90"/>
      <c r="J139" s="90"/>
      <c r="K139" s="90"/>
      <c r="L139" s="90"/>
      <c r="M139" s="90"/>
      <c r="N139" s="90"/>
      <c r="O139" s="90"/>
      <c r="P139" s="90"/>
    </row>
    <row r="140" spans="3:16" ht="12.75" customHeight="1">
      <c r="C140" s="89"/>
      <c r="D140" s="89"/>
      <c r="E140" s="89"/>
      <c r="F140" s="89"/>
      <c r="G140" s="89"/>
      <c r="H140" s="89"/>
      <c r="I140" s="90"/>
      <c r="J140" s="90"/>
      <c r="K140" s="90"/>
      <c r="L140" s="90"/>
      <c r="M140" s="90"/>
      <c r="N140" s="90"/>
      <c r="O140" s="90"/>
      <c r="P140" s="90"/>
    </row>
    <row r="141" spans="3:16" ht="12.75" customHeight="1">
      <c r="C141" s="89"/>
      <c r="D141" s="89"/>
      <c r="E141" s="89"/>
      <c r="F141" s="89"/>
      <c r="G141" s="89"/>
      <c r="H141" s="89"/>
      <c r="I141" s="90"/>
      <c r="J141" s="90"/>
      <c r="K141" s="90"/>
      <c r="L141" s="90"/>
      <c r="M141" s="90"/>
      <c r="N141" s="90"/>
      <c r="O141" s="90"/>
      <c r="P141" s="90"/>
    </row>
    <row r="142" spans="3:16" ht="12.75" customHeight="1">
      <c r="C142" s="89"/>
      <c r="D142" s="89"/>
      <c r="E142" s="89"/>
      <c r="F142" s="89"/>
      <c r="G142" s="89"/>
      <c r="H142" s="89"/>
      <c r="I142" s="90"/>
      <c r="J142" s="90"/>
      <c r="K142" s="90"/>
      <c r="L142" s="90"/>
      <c r="M142" s="90"/>
      <c r="N142" s="90"/>
      <c r="O142" s="90"/>
      <c r="P142" s="90"/>
    </row>
    <row r="143" spans="3:16" ht="12.75" customHeight="1">
      <c r="C143" s="89"/>
      <c r="D143" s="89"/>
      <c r="E143" s="89"/>
      <c r="F143" s="89"/>
      <c r="G143" s="89"/>
      <c r="H143" s="89"/>
      <c r="I143" s="90"/>
      <c r="J143" s="90"/>
      <c r="K143" s="90"/>
      <c r="L143" s="90"/>
      <c r="M143" s="90"/>
      <c r="N143" s="90"/>
      <c r="O143" s="90"/>
      <c r="P143" s="90"/>
    </row>
    <row r="144" spans="3:16" ht="12.75" customHeight="1">
      <c r="C144" s="89"/>
      <c r="D144" s="89"/>
      <c r="E144" s="89"/>
      <c r="F144" s="89"/>
      <c r="G144" s="89"/>
      <c r="H144" s="89"/>
      <c r="I144" s="90"/>
      <c r="J144" s="90"/>
      <c r="K144" s="90"/>
      <c r="L144" s="90"/>
      <c r="M144" s="90"/>
      <c r="N144" s="90"/>
      <c r="O144" s="90"/>
      <c r="P144" s="90"/>
    </row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</sheetData>
  <phoneticPr fontId="0" type="noConversion"/>
  <pageMargins left="1.1000000000000001" right="0.5" top="1" bottom="0.3" header="0.5" footer="0.5"/>
  <pageSetup scale="76" orientation="portrait" r:id="rId1"/>
  <headerFooter alignWithMargins="0"/>
  <rowBreaks count="1" manualBreakCount="1">
    <brk id="55" max="56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G69"/>
  <sheetViews>
    <sheetView workbookViewId="0">
      <selection activeCell="G13" sqref="G13"/>
    </sheetView>
  </sheetViews>
  <sheetFormatPr defaultRowHeight="9"/>
  <cols>
    <col min="1" max="1" width="20.796875" bestFit="1" customWidth="1"/>
    <col min="2" max="2" width="24.59765625" bestFit="1" customWidth="1"/>
    <col min="3" max="3" width="23.3984375" bestFit="1" customWidth="1"/>
    <col min="4" max="4" width="22.19921875" bestFit="1" customWidth="1"/>
  </cols>
  <sheetData>
    <row r="3" spans="1:7">
      <c r="B3" s="118" t="s">
        <v>116</v>
      </c>
    </row>
    <row r="4" spans="1:7">
      <c r="A4" s="118" t="s">
        <v>113</v>
      </c>
      <c r="B4" t="s">
        <v>115</v>
      </c>
      <c r="C4" t="s">
        <v>117</v>
      </c>
      <c r="D4" t="s">
        <v>118</v>
      </c>
    </row>
    <row r="5" spans="1:7">
      <c r="A5" s="119" t="s">
        <v>105</v>
      </c>
      <c r="B5" s="121">
        <v>1.9885122711193242</v>
      </c>
      <c r="C5" s="121">
        <v>13066</v>
      </c>
      <c r="D5" s="121">
        <v>144591</v>
      </c>
      <c r="F5" s="122" t="s">
        <v>119</v>
      </c>
      <c r="G5">
        <f>(C5+C19)/(D5+D19)</f>
        <v>0.11286550392590944</v>
      </c>
    </row>
    <row r="6" spans="1:7">
      <c r="A6" s="120" t="s">
        <v>104</v>
      </c>
      <c r="B6" s="121">
        <v>0.83916083916083917</v>
      </c>
      <c r="C6" s="121">
        <v>1440</v>
      </c>
      <c r="D6" s="121">
        <v>1716</v>
      </c>
      <c r="F6" s="122" t="s">
        <v>105</v>
      </c>
      <c r="G6">
        <f>C5/D5</f>
        <v>9.0365237117109642E-2</v>
      </c>
    </row>
    <row r="7" spans="1:7">
      <c r="A7" s="120" t="s">
        <v>19</v>
      </c>
      <c r="B7" s="121">
        <v>0.37085697223051656</v>
      </c>
      <c r="C7" s="121">
        <v>1242</v>
      </c>
      <c r="D7" s="121">
        <v>3349</v>
      </c>
      <c r="F7" s="122" t="s">
        <v>89</v>
      </c>
      <c r="G7">
        <f>C19/D19</f>
        <v>0.14203608062549314</v>
      </c>
    </row>
    <row r="8" spans="1:7">
      <c r="A8" s="120" t="s">
        <v>106</v>
      </c>
      <c r="B8" s="121">
        <v>4.3719639139486469E-2</v>
      </c>
      <c r="C8" s="121">
        <v>315</v>
      </c>
      <c r="D8" s="121">
        <v>7205</v>
      </c>
    </row>
    <row r="9" spans="1:7">
      <c r="A9" s="120" t="s">
        <v>107</v>
      </c>
      <c r="B9" s="121">
        <v>2.9699101211410707E-2</v>
      </c>
      <c r="C9" s="121">
        <v>608</v>
      </c>
      <c r="D9" s="121">
        <v>20472</v>
      </c>
      <c r="F9" s="122" t="s">
        <v>120</v>
      </c>
      <c r="G9">
        <f>(C41+C66)/(D41+D66)</f>
        <v>0.1346704871060172</v>
      </c>
    </row>
    <row r="10" spans="1:7">
      <c r="A10" s="120" t="s">
        <v>108</v>
      </c>
      <c r="B10" s="121">
        <v>3.8435022406066874E-2</v>
      </c>
      <c r="C10" s="121">
        <v>223</v>
      </c>
      <c r="D10" s="121">
        <v>5802</v>
      </c>
      <c r="F10" s="122" t="s">
        <v>74</v>
      </c>
      <c r="G10">
        <f>C41/D41</f>
        <v>0.13568530156856004</v>
      </c>
    </row>
    <row r="11" spans="1:7">
      <c r="A11" s="120" t="s">
        <v>109</v>
      </c>
      <c r="B11" s="121">
        <v>9.1386382280557829E-2</v>
      </c>
      <c r="C11" s="121">
        <v>557</v>
      </c>
      <c r="D11" s="121">
        <v>6095</v>
      </c>
      <c r="F11" s="122" t="s">
        <v>73</v>
      </c>
      <c r="G11">
        <f>C66/D66</f>
        <v>2.5682182985553772E-2</v>
      </c>
    </row>
    <row r="12" spans="1:7">
      <c r="A12" s="120" t="s">
        <v>110</v>
      </c>
      <c r="B12" s="121">
        <v>4.9285914309717169E-2</v>
      </c>
      <c r="C12" s="121">
        <v>352</v>
      </c>
      <c r="D12" s="121">
        <v>7142</v>
      </c>
    </row>
    <row r="13" spans="1:7">
      <c r="A13" s="120" t="s">
        <v>111</v>
      </c>
      <c r="B13" s="121">
        <v>7.8854346052750837E-2</v>
      </c>
      <c r="C13" s="121">
        <v>870</v>
      </c>
      <c r="D13" s="121">
        <v>11033</v>
      </c>
      <c r="F13" s="122" t="s">
        <v>123</v>
      </c>
      <c r="G13">
        <f>(C5+C19+C41+C66)/(D5+D19+D41+D66)</f>
        <v>0.12039408766252026</v>
      </c>
    </row>
    <row r="14" spans="1:7">
      <c r="A14" s="120" t="s">
        <v>20</v>
      </c>
      <c r="B14" s="121">
        <v>4.059652029826015E-2</v>
      </c>
      <c r="C14" s="121">
        <v>245</v>
      </c>
      <c r="D14" s="121">
        <v>6035</v>
      </c>
    </row>
    <row r="15" spans="1:7">
      <c r="A15" s="120" t="s">
        <v>112</v>
      </c>
      <c r="B15" s="121">
        <v>7.9376266408245966E-2</v>
      </c>
      <c r="C15" s="121">
        <v>901</v>
      </c>
      <c r="D15" s="121">
        <v>11351</v>
      </c>
    </row>
    <row r="16" spans="1:7">
      <c r="A16" s="120" t="s">
        <v>21</v>
      </c>
      <c r="B16" s="121">
        <v>6.3881759995052717E-2</v>
      </c>
      <c r="C16" s="121">
        <v>2066</v>
      </c>
      <c r="D16" s="121">
        <v>32341</v>
      </c>
    </row>
    <row r="17" spans="1:4">
      <c r="A17" s="120" t="s">
        <v>22</v>
      </c>
      <c r="B17" s="121">
        <v>0.11317910741201914</v>
      </c>
      <c r="C17" s="121">
        <v>1727</v>
      </c>
      <c r="D17" s="121">
        <v>15259</v>
      </c>
    </row>
    <row r="18" spans="1:4">
      <c r="A18" s="120" t="s">
        <v>23</v>
      </c>
      <c r="B18" s="121">
        <v>0.15008040021440058</v>
      </c>
      <c r="C18" s="121">
        <v>2520</v>
      </c>
      <c r="D18" s="121">
        <v>16791</v>
      </c>
    </row>
    <row r="19" spans="1:4">
      <c r="A19" s="119" t="s">
        <v>89</v>
      </c>
      <c r="B19" s="121">
        <v>2.4152290935991338</v>
      </c>
      <c r="C19" s="121">
        <v>15841</v>
      </c>
      <c r="D19" s="121">
        <v>111528</v>
      </c>
    </row>
    <row r="20" spans="1:4">
      <c r="A20" s="120" t="s">
        <v>26</v>
      </c>
      <c r="B20" s="121">
        <v>1.3987353899214409E-2</v>
      </c>
      <c r="C20" s="121">
        <v>73</v>
      </c>
      <c r="D20" s="121">
        <v>5219</v>
      </c>
    </row>
    <row r="21" spans="1:4">
      <c r="A21" s="120" t="s">
        <v>27</v>
      </c>
      <c r="B21" s="121">
        <v>1.0512189666741221E-2</v>
      </c>
      <c r="C21" s="121">
        <v>47</v>
      </c>
      <c r="D21" s="121">
        <v>4471</v>
      </c>
    </row>
    <row r="22" spans="1:4">
      <c r="A22" s="120" t="s">
        <v>28</v>
      </c>
      <c r="B22" s="121">
        <v>1.7926356589147287E-2</v>
      </c>
      <c r="C22" s="121">
        <v>111</v>
      </c>
      <c r="D22" s="121">
        <v>6192</v>
      </c>
    </row>
    <row r="23" spans="1:4">
      <c r="A23" s="120" t="s">
        <v>29</v>
      </c>
      <c r="B23" s="121">
        <v>1.7857142857142856E-2</v>
      </c>
      <c r="C23" s="121">
        <v>21</v>
      </c>
      <c r="D23" s="121">
        <v>1176</v>
      </c>
    </row>
    <row r="24" spans="1:4">
      <c r="A24" s="120" t="s">
        <v>91</v>
      </c>
      <c r="B24" s="121">
        <v>4.0429742719819056E-2</v>
      </c>
      <c r="C24" s="121">
        <v>143</v>
      </c>
      <c r="D24" s="121">
        <v>3537</v>
      </c>
    </row>
    <row r="25" spans="1:4">
      <c r="A25" s="120" t="s">
        <v>90</v>
      </c>
      <c r="B25" s="121">
        <v>0.11003627569528417</v>
      </c>
      <c r="C25" s="121">
        <v>91</v>
      </c>
      <c r="D25" s="121">
        <v>827</v>
      </c>
    </row>
    <row r="26" spans="1:4">
      <c r="A26" s="120" t="s">
        <v>92</v>
      </c>
      <c r="B26" s="121">
        <v>0.14895243921088852</v>
      </c>
      <c r="C26" s="121">
        <v>974</v>
      </c>
      <c r="D26" s="121">
        <v>6539</v>
      </c>
    </row>
    <row r="27" spans="1:4">
      <c r="A27" s="120" t="s">
        <v>93</v>
      </c>
      <c r="B27" s="121">
        <v>5.4967502321262768E-2</v>
      </c>
      <c r="C27" s="121">
        <v>296</v>
      </c>
      <c r="D27" s="121">
        <v>5385</v>
      </c>
    </row>
    <row r="28" spans="1:4">
      <c r="A28" s="120" t="s">
        <v>94</v>
      </c>
      <c r="B28" s="121">
        <v>0.37873284907183213</v>
      </c>
      <c r="C28" s="121">
        <v>1877</v>
      </c>
      <c r="D28" s="121">
        <v>4956</v>
      </c>
    </row>
    <row r="29" spans="1:4">
      <c r="A29" s="120" t="s">
        <v>95</v>
      </c>
      <c r="B29" s="121">
        <v>2.0970186963112682E-2</v>
      </c>
      <c r="C29" s="121">
        <v>83</v>
      </c>
      <c r="D29" s="121">
        <v>3958</v>
      </c>
    </row>
    <row r="30" spans="1:4">
      <c r="A30" s="120" t="s">
        <v>32</v>
      </c>
      <c r="B30" s="121">
        <v>9.4564818215203822E-2</v>
      </c>
      <c r="C30" s="121">
        <v>515</v>
      </c>
      <c r="D30" s="121">
        <v>5446</v>
      </c>
    </row>
    <row r="31" spans="1:4">
      <c r="A31" s="120" t="s">
        <v>96</v>
      </c>
      <c r="B31" s="121">
        <v>9.0130689499774673E-3</v>
      </c>
      <c r="C31" s="121">
        <v>20</v>
      </c>
      <c r="D31" s="121">
        <v>2219</v>
      </c>
    </row>
    <row r="32" spans="1:4">
      <c r="A32" s="120" t="s">
        <v>97</v>
      </c>
      <c r="B32" s="121">
        <v>1.9136139967195188E-2</v>
      </c>
      <c r="C32" s="121">
        <v>35</v>
      </c>
      <c r="D32" s="121">
        <v>1829</v>
      </c>
    </row>
    <row r="33" spans="1:4">
      <c r="A33" s="120" t="s">
        <v>98</v>
      </c>
      <c r="B33" s="121">
        <v>2.8402962536851945E-2</v>
      </c>
      <c r="C33" s="121">
        <v>395</v>
      </c>
      <c r="D33" s="121">
        <v>13907</v>
      </c>
    </row>
    <row r="34" spans="1:4">
      <c r="A34" s="120" t="s">
        <v>99</v>
      </c>
      <c r="B34" s="121">
        <v>5.4620824189222143E-2</v>
      </c>
      <c r="C34" s="121">
        <v>448</v>
      </c>
      <c r="D34" s="121">
        <v>8202</v>
      </c>
    </row>
    <row r="35" spans="1:4">
      <c r="A35" s="120" t="s">
        <v>101</v>
      </c>
      <c r="B35" s="121">
        <v>0.60610543302850994</v>
      </c>
      <c r="C35" s="121">
        <v>4507</v>
      </c>
      <c r="D35" s="121">
        <v>7436</v>
      </c>
    </row>
    <row r="36" spans="1:4">
      <c r="A36" s="120" t="s">
        <v>100</v>
      </c>
      <c r="B36" s="121">
        <v>0.52271684258834328</v>
      </c>
      <c r="C36" s="121">
        <v>4556</v>
      </c>
      <c r="D36" s="121">
        <v>8716</v>
      </c>
    </row>
    <row r="37" spans="1:4">
      <c r="A37" s="120" t="s">
        <v>102</v>
      </c>
      <c r="B37" s="121">
        <v>8.9501312335958011E-2</v>
      </c>
      <c r="C37" s="121">
        <v>1023</v>
      </c>
      <c r="D37" s="121">
        <v>11430</v>
      </c>
    </row>
    <row r="38" spans="1:4">
      <c r="A38" s="120" t="s">
        <v>103</v>
      </c>
      <c r="B38" s="121">
        <v>3.3333333333333333E-2</v>
      </c>
      <c r="C38" s="121">
        <v>51</v>
      </c>
      <c r="D38" s="121">
        <v>1530</v>
      </c>
    </row>
    <row r="39" spans="1:4">
      <c r="A39" s="120" t="s">
        <v>33</v>
      </c>
      <c r="B39" s="121">
        <v>3.6491810076715737E-2</v>
      </c>
      <c r="C39" s="121">
        <v>176</v>
      </c>
      <c r="D39" s="121">
        <v>4823</v>
      </c>
    </row>
    <row r="40" spans="1:4">
      <c r="A40" s="120" t="s">
        <v>34</v>
      </c>
      <c r="B40" s="121">
        <v>0.10697050938337802</v>
      </c>
      <c r="C40" s="121">
        <v>399</v>
      </c>
      <c r="D40" s="121">
        <v>3730</v>
      </c>
    </row>
    <row r="41" spans="1:4">
      <c r="A41" s="119" t="s">
        <v>74</v>
      </c>
      <c r="B41" s="121">
        <v>2.4022133439890734</v>
      </c>
      <c r="C41" s="121">
        <v>18157</v>
      </c>
      <c r="D41" s="121">
        <v>133817</v>
      </c>
    </row>
    <row r="42" spans="1:4">
      <c r="A42" s="120" t="s">
        <v>41</v>
      </c>
      <c r="B42" s="121">
        <v>0.16417910447761194</v>
      </c>
      <c r="C42" s="121">
        <v>308</v>
      </c>
      <c r="D42" s="121">
        <v>1876</v>
      </c>
    </row>
    <row r="43" spans="1:4">
      <c r="A43" s="120" t="s">
        <v>75</v>
      </c>
      <c r="B43" s="121">
        <v>7.1428571428571425E-2</v>
      </c>
      <c r="C43" s="121">
        <v>84</v>
      </c>
      <c r="D43" s="121">
        <v>1176</v>
      </c>
    </row>
    <row r="44" spans="1:4">
      <c r="A44" s="120" t="s">
        <v>76</v>
      </c>
      <c r="B44" s="121">
        <v>1.2573099415204679E-2</v>
      </c>
      <c r="C44" s="121">
        <v>43</v>
      </c>
      <c r="D44" s="121">
        <v>3420</v>
      </c>
    </row>
    <row r="45" spans="1:4">
      <c r="A45" s="120" t="s">
        <v>77</v>
      </c>
      <c r="B45" s="121">
        <v>5.7971014492753624E-3</v>
      </c>
      <c r="C45" s="121">
        <v>8</v>
      </c>
      <c r="D45" s="121">
        <v>1380</v>
      </c>
    </row>
    <row r="46" spans="1:4">
      <c r="A46" s="120" t="s">
        <v>43</v>
      </c>
      <c r="B46" s="121">
        <v>0.18818535550053059</v>
      </c>
      <c r="C46" s="121">
        <v>3192</v>
      </c>
      <c r="D46" s="121">
        <v>16962</v>
      </c>
    </row>
    <row r="47" spans="1:4">
      <c r="A47" s="120" t="s">
        <v>78</v>
      </c>
      <c r="B47" s="121">
        <v>9.9870298313878086E-2</v>
      </c>
      <c r="C47" s="121">
        <v>77</v>
      </c>
      <c r="D47" s="121">
        <v>771</v>
      </c>
    </row>
    <row r="48" spans="1:4">
      <c r="A48" s="120" t="s">
        <v>44</v>
      </c>
      <c r="B48" s="121">
        <v>3.7329504666188083E-2</v>
      </c>
      <c r="C48" s="121">
        <v>208</v>
      </c>
      <c r="D48" s="121">
        <v>5572</v>
      </c>
    </row>
    <row r="49" spans="1:4">
      <c r="A49" s="120" t="s">
        <v>79</v>
      </c>
      <c r="B49" s="121">
        <v>4.1988416988416988E-2</v>
      </c>
      <c r="C49" s="121">
        <v>87</v>
      </c>
      <c r="D49" s="121">
        <v>2072</v>
      </c>
    </row>
    <row r="50" spans="1:4">
      <c r="A50" s="120" t="s">
        <v>80</v>
      </c>
      <c r="B50" s="121">
        <v>0.28554502369668244</v>
      </c>
      <c r="C50" s="121">
        <v>723</v>
      </c>
      <c r="D50" s="121">
        <v>2532</v>
      </c>
    </row>
    <row r="51" spans="1:4">
      <c r="A51" s="120" t="s">
        <v>81</v>
      </c>
      <c r="B51" s="121">
        <v>2.3509655751469353E-2</v>
      </c>
      <c r="C51" s="121">
        <v>28</v>
      </c>
      <c r="D51" s="121">
        <v>1191</v>
      </c>
    </row>
    <row r="52" spans="1:4">
      <c r="A52" s="120" t="s">
        <v>45</v>
      </c>
      <c r="B52" s="121">
        <v>0.1614808285588365</v>
      </c>
      <c r="C52" s="121">
        <v>1832</v>
      </c>
      <c r="D52" s="121">
        <v>11345</v>
      </c>
    </row>
    <row r="53" spans="1:4">
      <c r="A53" s="120" t="s">
        <v>46</v>
      </c>
      <c r="B53" s="121">
        <v>8.1338411316648526E-2</v>
      </c>
      <c r="C53" s="121">
        <v>299</v>
      </c>
      <c r="D53" s="121">
        <v>3676</v>
      </c>
    </row>
    <row r="54" spans="1:4">
      <c r="A54" s="120" t="s">
        <v>82</v>
      </c>
      <c r="B54" s="121">
        <v>6.0647965231133937E-2</v>
      </c>
      <c r="C54" s="121">
        <v>307</v>
      </c>
      <c r="D54" s="121">
        <v>5062</v>
      </c>
    </row>
    <row r="55" spans="1:4">
      <c r="A55" s="120" t="s">
        <v>83</v>
      </c>
      <c r="B55" s="121">
        <v>0.16871508379888267</v>
      </c>
      <c r="C55" s="121">
        <v>302</v>
      </c>
      <c r="D55" s="121">
        <v>1790</v>
      </c>
    </row>
    <row r="56" spans="1:4">
      <c r="A56" s="120" t="s">
        <v>47</v>
      </c>
      <c r="B56" s="121">
        <v>0.19231409083347198</v>
      </c>
      <c r="C56" s="121">
        <v>2312</v>
      </c>
      <c r="D56" s="121">
        <v>12022</v>
      </c>
    </row>
    <row r="57" spans="1:4">
      <c r="A57" s="120" t="s">
        <v>48</v>
      </c>
      <c r="B57" s="121">
        <v>6.4939550949913646E-2</v>
      </c>
      <c r="C57" s="121">
        <v>188</v>
      </c>
      <c r="D57" s="121">
        <v>2895</v>
      </c>
    </row>
    <row r="58" spans="1:4">
      <c r="A58" s="120" t="s">
        <v>85</v>
      </c>
      <c r="B58" s="121">
        <v>6.3301146309785991E-2</v>
      </c>
      <c r="C58" s="121">
        <v>1121</v>
      </c>
      <c r="D58" s="121">
        <v>17709</v>
      </c>
    </row>
    <row r="59" spans="1:4">
      <c r="A59" s="120" t="s">
        <v>84</v>
      </c>
      <c r="B59" s="121">
        <v>4.061052057781412E-2</v>
      </c>
      <c r="C59" s="121">
        <v>149</v>
      </c>
      <c r="D59" s="121">
        <v>3669</v>
      </c>
    </row>
    <row r="60" spans="1:4">
      <c r="A60" s="120" t="s">
        <v>49</v>
      </c>
      <c r="B60" s="121">
        <v>0.13357079252003562</v>
      </c>
      <c r="C60" s="121">
        <v>150</v>
      </c>
      <c r="D60" s="121">
        <v>1123</v>
      </c>
    </row>
    <row r="61" spans="1:4">
      <c r="A61" s="120" t="s">
        <v>88</v>
      </c>
      <c r="B61" s="121">
        <v>5.9479015918958031E-2</v>
      </c>
      <c r="C61" s="121">
        <v>822</v>
      </c>
      <c r="D61" s="121">
        <v>13820</v>
      </c>
    </row>
    <row r="62" spans="1:4">
      <c r="A62" s="120" t="s">
        <v>50</v>
      </c>
      <c r="B62" s="121">
        <v>0.29485058422086652</v>
      </c>
      <c r="C62" s="121">
        <v>5703</v>
      </c>
      <c r="D62" s="121">
        <v>19342</v>
      </c>
    </row>
    <row r="63" spans="1:4">
      <c r="A63" s="120" t="s">
        <v>51</v>
      </c>
      <c r="B63" s="121">
        <v>7.5407026563838908E-2</v>
      </c>
      <c r="C63" s="121">
        <v>88</v>
      </c>
      <c r="D63" s="121">
        <v>1167</v>
      </c>
    </row>
    <row r="64" spans="1:4">
      <c r="A64" s="120" t="s">
        <v>86</v>
      </c>
      <c r="B64" s="121">
        <v>3.3962264150943396E-2</v>
      </c>
      <c r="C64" s="121">
        <v>36</v>
      </c>
      <c r="D64" s="121">
        <v>1060</v>
      </c>
    </row>
    <row r="65" spans="1:4">
      <c r="A65" s="120" t="s">
        <v>87</v>
      </c>
      <c r="B65" s="121">
        <v>4.1189931350114416E-2</v>
      </c>
      <c r="C65" s="121">
        <v>90</v>
      </c>
      <c r="D65" s="121">
        <v>2185</v>
      </c>
    </row>
    <row r="66" spans="1:4">
      <c r="A66" s="119" t="s">
        <v>73</v>
      </c>
      <c r="B66" s="121">
        <v>7.1349033728444908E-2</v>
      </c>
      <c r="C66" s="121">
        <v>32</v>
      </c>
      <c r="D66" s="121">
        <v>1246</v>
      </c>
    </row>
    <row r="67" spans="1:4">
      <c r="A67" s="120" t="s">
        <v>53</v>
      </c>
      <c r="B67" s="121">
        <v>5.5374592833876218E-2</v>
      </c>
      <c r="C67" s="121">
        <v>17</v>
      </c>
      <c r="D67" s="121">
        <v>307</v>
      </c>
    </row>
    <row r="68" spans="1:4">
      <c r="A68" s="120" t="s">
        <v>58</v>
      </c>
      <c r="B68" s="121">
        <v>1.5974440894568689E-2</v>
      </c>
      <c r="C68" s="121">
        <v>15</v>
      </c>
      <c r="D68" s="121">
        <v>939</v>
      </c>
    </row>
    <row r="69" spans="1:4">
      <c r="A69" s="119" t="s">
        <v>114</v>
      </c>
      <c r="B69" s="121">
        <v>6.8773037424359744</v>
      </c>
      <c r="C69" s="121">
        <v>47096</v>
      </c>
      <c r="D69" s="121">
        <v>391182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1"/>
  <sheetViews>
    <sheetView workbookViewId="0">
      <selection sqref="A1:G61"/>
    </sheetView>
  </sheetViews>
  <sheetFormatPr defaultRowHeight="9"/>
  <sheetData>
    <row r="1" spans="1:7">
      <c r="A1" s="117" t="s">
        <v>66</v>
      </c>
      <c r="B1" s="117" t="s">
        <v>67</v>
      </c>
      <c r="C1" s="117" t="s">
        <v>68</v>
      </c>
      <c r="D1" s="117" t="s">
        <v>69</v>
      </c>
      <c r="E1" s="117" t="s">
        <v>70</v>
      </c>
      <c r="F1" s="117" t="s">
        <v>71</v>
      </c>
      <c r="G1" s="117" t="s">
        <v>72</v>
      </c>
    </row>
    <row r="2" spans="1:7">
      <c r="A2" s="117" t="s">
        <v>53</v>
      </c>
      <c r="B2" s="117" t="s">
        <v>73</v>
      </c>
      <c r="C2" s="117">
        <v>307</v>
      </c>
      <c r="D2" s="117">
        <v>307</v>
      </c>
      <c r="E2" s="117">
        <v>17</v>
      </c>
      <c r="F2" s="117">
        <f>D2/C2</f>
        <v>1</v>
      </c>
      <c r="G2" s="117">
        <f>E2/C2</f>
        <v>5.5374592833876218E-2</v>
      </c>
    </row>
    <row r="3" spans="1:7">
      <c r="A3" s="117" t="s">
        <v>58</v>
      </c>
      <c r="B3" s="117" t="s">
        <v>73</v>
      </c>
      <c r="C3" s="117">
        <v>939</v>
      </c>
      <c r="D3" s="117">
        <v>521</v>
      </c>
      <c r="E3" s="117">
        <v>15</v>
      </c>
      <c r="F3" s="117">
        <f t="shared" ref="F3:F61" si="0">D3/C3</f>
        <v>0.55484558040468579</v>
      </c>
      <c r="G3" s="117">
        <f t="shared" ref="G3:G61" si="1">E3/C3</f>
        <v>1.5974440894568689E-2</v>
      </c>
    </row>
    <row r="4" spans="1:7">
      <c r="A4" s="117" t="s">
        <v>41</v>
      </c>
      <c r="B4" s="117" t="s">
        <v>74</v>
      </c>
      <c r="C4" s="117">
        <v>1876</v>
      </c>
      <c r="D4" s="117">
        <v>1240</v>
      </c>
      <c r="E4" s="117">
        <v>308</v>
      </c>
      <c r="F4" s="117">
        <f t="shared" si="0"/>
        <v>0.66098081023454158</v>
      </c>
      <c r="G4" s="117">
        <f t="shared" si="1"/>
        <v>0.16417910447761194</v>
      </c>
    </row>
    <row r="5" spans="1:7">
      <c r="A5" s="117" t="s">
        <v>75</v>
      </c>
      <c r="B5" s="117" t="s">
        <v>74</v>
      </c>
      <c r="C5" s="117">
        <v>1176</v>
      </c>
      <c r="D5" s="117">
        <v>595</v>
      </c>
      <c r="E5" s="117">
        <v>84</v>
      </c>
      <c r="F5" s="117">
        <f t="shared" si="0"/>
        <v>0.50595238095238093</v>
      </c>
      <c r="G5" s="117">
        <f t="shared" si="1"/>
        <v>7.1428571428571425E-2</v>
      </c>
    </row>
    <row r="6" spans="1:7">
      <c r="A6" s="117" t="s">
        <v>76</v>
      </c>
      <c r="B6" s="117" t="s">
        <v>74</v>
      </c>
      <c r="C6" s="117">
        <v>3420</v>
      </c>
      <c r="D6" s="117">
        <v>2289</v>
      </c>
      <c r="E6" s="117">
        <v>43</v>
      </c>
      <c r="F6" s="117">
        <f t="shared" si="0"/>
        <v>0.66929824561403506</v>
      </c>
      <c r="G6" s="117">
        <f t="shared" si="1"/>
        <v>1.2573099415204679E-2</v>
      </c>
    </row>
    <row r="7" spans="1:7">
      <c r="A7" s="117" t="s">
        <v>77</v>
      </c>
      <c r="B7" s="117" t="s">
        <v>74</v>
      </c>
      <c r="C7" s="117">
        <v>1380</v>
      </c>
      <c r="D7" s="117">
        <v>788</v>
      </c>
      <c r="E7" s="117">
        <v>8</v>
      </c>
      <c r="F7" s="117">
        <f t="shared" si="0"/>
        <v>0.57101449275362315</v>
      </c>
      <c r="G7" s="117">
        <f t="shared" si="1"/>
        <v>5.7971014492753624E-3</v>
      </c>
    </row>
    <row r="8" spans="1:7">
      <c r="A8" s="117" t="s">
        <v>43</v>
      </c>
      <c r="B8" s="117" t="s">
        <v>74</v>
      </c>
      <c r="C8" s="117">
        <v>16962</v>
      </c>
      <c r="D8" s="117">
        <v>10331</v>
      </c>
      <c r="E8" s="117">
        <v>3192</v>
      </c>
      <c r="F8" s="117">
        <f t="shared" si="0"/>
        <v>0.60906732696615962</v>
      </c>
      <c r="G8" s="117">
        <f t="shared" si="1"/>
        <v>0.18818535550053059</v>
      </c>
    </row>
    <row r="9" spans="1:7">
      <c r="A9" s="117" t="s">
        <v>78</v>
      </c>
      <c r="B9" s="117" t="s">
        <v>74</v>
      </c>
      <c r="C9" s="117">
        <v>771</v>
      </c>
      <c r="D9" s="117">
        <v>435</v>
      </c>
      <c r="E9" s="117">
        <v>77</v>
      </c>
      <c r="F9" s="117">
        <f t="shared" si="0"/>
        <v>0.56420233463035019</v>
      </c>
      <c r="G9" s="117">
        <f t="shared" si="1"/>
        <v>9.9870298313878086E-2</v>
      </c>
    </row>
    <row r="10" spans="1:7">
      <c r="A10" s="117" t="s">
        <v>44</v>
      </c>
      <c r="B10" s="117" t="s">
        <v>74</v>
      </c>
      <c r="C10" s="117">
        <v>5572</v>
      </c>
      <c r="D10" s="117">
        <v>3546</v>
      </c>
      <c r="E10" s="117">
        <v>208</v>
      </c>
      <c r="F10" s="117">
        <f t="shared" si="0"/>
        <v>0.63639626704953334</v>
      </c>
      <c r="G10" s="117">
        <f t="shared" si="1"/>
        <v>3.7329504666188083E-2</v>
      </c>
    </row>
    <row r="11" spans="1:7">
      <c r="A11" s="117" t="s">
        <v>79</v>
      </c>
      <c r="B11" s="117" t="s">
        <v>74</v>
      </c>
      <c r="C11" s="117">
        <v>2072</v>
      </c>
      <c r="D11" s="117">
        <v>1221</v>
      </c>
      <c r="E11" s="117">
        <v>87</v>
      </c>
      <c r="F11" s="117">
        <f t="shared" si="0"/>
        <v>0.5892857142857143</v>
      </c>
      <c r="G11" s="117">
        <f t="shared" si="1"/>
        <v>4.1988416988416988E-2</v>
      </c>
    </row>
    <row r="12" spans="1:7">
      <c r="A12" s="117" t="s">
        <v>80</v>
      </c>
      <c r="B12" s="117" t="s">
        <v>74</v>
      </c>
      <c r="C12" s="117">
        <v>2532</v>
      </c>
      <c r="D12" s="117">
        <v>1822</v>
      </c>
      <c r="E12" s="117">
        <v>723</v>
      </c>
      <c r="F12" s="117">
        <f t="shared" si="0"/>
        <v>0.71958925750394942</v>
      </c>
      <c r="G12" s="117">
        <f t="shared" si="1"/>
        <v>0.28554502369668244</v>
      </c>
    </row>
    <row r="13" spans="1:7">
      <c r="A13" s="117" t="s">
        <v>81</v>
      </c>
      <c r="B13" s="117" t="s">
        <v>74</v>
      </c>
      <c r="C13" s="117">
        <v>1191</v>
      </c>
      <c r="D13" s="117">
        <v>777</v>
      </c>
      <c r="E13" s="117">
        <v>28</v>
      </c>
      <c r="F13" s="117">
        <f t="shared" si="0"/>
        <v>0.65239294710327456</v>
      </c>
      <c r="G13" s="117">
        <f t="shared" si="1"/>
        <v>2.3509655751469353E-2</v>
      </c>
    </row>
    <row r="14" spans="1:7">
      <c r="A14" s="117" t="s">
        <v>45</v>
      </c>
      <c r="B14" s="117" t="s">
        <v>74</v>
      </c>
      <c r="C14" s="117">
        <v>11345</v>
      </c>
      <c r="D14" s="117">
        <v>6833</v>
      </c>
      <c r="E14" s="117">
        <v>1832</v>
      </c>
      <c r="F14" s="117">
        <f t="shared" si="0"/>
        <v>0.60229175848391359</v>
      </c>
      <c r="G14" s="117">
        <f t="shared" si="1"/>
        <v>0.1614808285588365</v>
      </c>
    </row>
    <row r="15" spans="1:7">
      <c r="A15" s="117" t="s">
        <v>46</v>
      </c>
      <c r="B15" s="117" t="s">
        <v>74</v>
      </c>
      <c r="C15" s="117">
        <v>3676</v>
      </c>
      <c r="D15" s="117">
        <v>2765</v>
      </c>
      <c r="E15" s="117">
        <v>299</v>
      </c>
      <c r="F15" s="117">
        <f t="shared" si="0"/>
        <v>0.7521762785636561</v>
      </c>
      <c r="G15" s="117">
        <f t="shared" si="1"/>
        <v>8.1338411316648526E-2</v>
      </c>
    </row>
    <row r="16" spans="1:7">
      <c r="A16" s="117" t="s">
        <v>82</v>
      </c>
      <c r="B16" s="117" t="s">
        <v>74</v>
      </c>
      <c r="C16" s="117">
        <v>5062</v>
      </c>
      <c r="D16" s="117">
        <v>3213</v>
      </c>
      <c r="E16" s="117">
        <v>307</v>
      </c>
      <c r="F16" s="117">
        <f t="shared" si="0"/>
        <v>0.6347293559857764</v>
      </c>
      <c r="G16" s="117">
        <f t="shared" si="1"/>
        <v>6.0647965231133937E-2</v>
      </c>
    </row>
    <row r="17" spans="1:7">
      <c r="A17" s="117" t="s">
        <v>83</v>
      </c>
      <c r="B17" s="117" t="s">
        <v>74</v>
      </c>
      <c r="C17" s="117">
        <v>1790</v>
      </c>
      <c r="D17" s="117">
        <v>837</v>
      </c>
      <c r="E17" s="117">
        <v>302</v>
      </c>
      <c r="F17" s="117">
        <f t="shared" si="0"/>
        <v>0.46759776536312847</v>
      </c>
      <c r="G17" s="117">
        <f t="shared" si="1"/>
        <v>0.16871508379888267</v>
      </c>
    </row>
    <row r="18" spans="1:7">
      <c r="A18" s="117" t="s">
        <v>47</v>
      </c>
      <c r="B18" s="117" t="s">
        <v>74</v>
      </c>
      <c r="C18" s="117">
        <v>12022</v>
      </c>
      <c r="D18" s="117">
        <v>6069</v>
      </c>
      <c r="E18" s="117">
        <v>2312</v>
      </c>
      <c r="F18" s="117">
        <f t="shared" si="0"/>
        <v>0.50482448843786387</v>
      </c>
      <c r="G18" s="117">
        <f t="shared" si="1"/>
        <v>0.19231409083347198</v>
      </c>
    </row>
    <row r="19" spans="1:7">
      <c r="A19" s="117" t="s">
        <v>48</v>
      </c>
      <c r="B19" s="117" t="s">
        <v>74</v>
      </c>
      <c r="C19" s="117">
        <v>2895</v>
      </c>
      <c r="D19" s="117">
        <v>1782</v>
      </c>
      <c r="E19" s="117">
        <v>188</v>
      </c>
      <c r="F19" s="117">
        <f t="shared" si="0"/>
        <v>0.61554404145077724</v>
      </c>
      <c r="G19" s="117">
        <f t="shared" si="1"/>
        <v>6.4939550949913646E-2</v>
      </c>
    </row>
    <row r="20" spans="1:7">
      <c r="A20" s="117" t="s">
        <v>84</v>
      </c>
      <c r="B20" s="117" t="s">
        <v>74</v>
      </c>
      <c r="C20" s="117">
        <v>3669</v>
      </c>
      <c r="D20" s="117">
        <v>2377</v>
      </c>
      <c r="E20" s="117">
        <v>149</v>
      </c>
      <c r="F20" s="117">
        <f t="shared" si="0"/>
        <v>0.64786045243935675</v>
      </c>
      <c r="G20" s="117">
        <f t="shared" si="1"/>
        <v>4.061052057781412E-2</v>
      </c>
    </row>
    <row r="21" spans="1:7">
      <c r="A21" s="117" t="s">
        <v>85</v>
      </c>
      <c r="B21" s="117" t="s">
        <v>74</v>
      </c>
      <c r="C21" s="117">
        <v>17709</v>
      </c>
      <c r="D21" s="117">
        <v>10474</v>
      </c>
      <c r="E21" s="117">
        <v>1121</v>
      </c>
      <c r="F21" s="117">
        <f t="shared" si="0"/>
        <v>0.5914506747981253</v>
      </c>
      <c r="G21" s="117">
        <f t="shared" si="1"/>
        <v>6.3301146309785991E-2</v>
      </c>
    </row>
    <row r="22" spans="1:7">
      <c r="A22" s="117" t="s">
        <v>49</v>
      </c>
      <c r="B22" s="117" t="s">
        <v>74</v>
      </c>
      <c r="C22" s="117">
        <v>1123</v>
      </c>
      <c r="D22" s="117">
        <v>1061</v>
      </c>
      <c r="E22" s="117">
        <v>150</v>
      </c>
      <c r="F22" s="117">
        <f t="shared" si="0"/>
        <v>0.94479073909171862</v>
      </c>
      <c r="G22" s="117">
        <f t="shared" si="1"/>
        <v>0.13357079252003562</v>
      </c>
    </row>
    <row r="23" spans="1:7">
      <c r="A23" s="117" t="s">
        <v>50</v>
      </c>
      <c r="B23" s="117" t="s">
        <v>74</v>
      </c>
      <c r="C23" s="117">
        <v>19342</v>
      </c>
      <c r="D23" s="117">
        <v>11295</v>
      </c>
      <c r="E23" s="117">
        <v>5703</v>
      </c>
      <c r="F23" s="117">
        <f t="shared" si="0"/>
        <v>0.58396236169992766</v>
      </c>
      <c r="G23" s="117">
        <f t="shared" si="1"/>
        <v>0.29485058422086652</v>
      </c>
    </row>
    <row r="24" spans="1:7">
      <c r="A24" s="117" t="s">
        <v>51</v>
      </c>
      <c r="B24" s="117" t="s">
        <v>74</v>
      </c>
      <c r="C24" s="117">
        <v>1167</v>
      </c>
      <c r="D24" s="117">
        <v>520</v>
      </c>
      <c r="E24" s="117">
        <v>88</v>
      </c>
      <c r="F24" s="117">
        <f t="shared" si="0"/>
        <v>0.44558697514995715</v>
      </c>
      <c r="G24" s="117">
        <f t="shared" si="1"/>
        <v>7.5407026563838908E-2</v>
      </c>
    </row>
    <row r="25" spans="1:7">
      <c r="A25" s="117" t="s">
        <v>86</v>
      </c>
      <c r="B25" s="117" t="s">
        <v>74</v>
      </c>
      <c r="C25" s="117">
        <v>1060</v>
      </c>
      <c r="D25" s="117">
        <v>634</v>
      </c>
      <c r="E25" s="117">
        <v>36</v>
      </c>
      <c r="F25" s="117">
        <f t="shared" si="0"/>
        <v>0.59811320754716979</v>
      </c>
      <c r="G25" s="117">
        <f t="shared" si="1"/>
        <v>3.3962264150943396E-2</v>
      </c>
    </row>
    <row r="26" spans="1:7">
      <c r="A26" s="117" t="s">
        <v>87</v>
      </c>
      <c r="B26" s="117" t="s">
        <v>74</v>
      </c>
      <c r="C26" s="117">
        <v>2185</v>
      </c>
      <c r="D26" s="117">
        <v>1508</v>
      </c>
      <c r="E26" s="117">
        <v>90</v>
      </c>
      <c r="F26" s="117">
        <f t="shared" si="0"/>
        <v>0.69016018306636151</v>
      </c>
      <c r="G26" s="117">
        <f t="shared" si="1"/>
        <v>4.1189931350114416E-2</v>
      </c>
    </row>
    <row r="27" spans="1:7">
      <c r="A27" s="117" t="s">
        <v>88</v>
      </c>
      <c r="B27" s="117" t="s">
        <v>74</v>
      </c>
      <c r="C27" s="117">
        <v>13820</v>
      </c>
      <c r="D27" s="117">
        <v>7024</v>
      </c>
      <c r="E27" s="117">
        <v>822</v>
      </c>
      <c r="F27" s="117">
        <f t="shared" si="0"/>
        <v>0.50824891461649779</v>
      </c>
      <c r="G27" s="117">
        <f t="shared" si="1"/>
        <v>5.9479015918958031E-2</v>
      </c>
    </row>
    <row r="28" spans="1:7">
      <c r="A28" s="117" t="s">
        <v>26</v>
      </c>
      <c r="B28" s="117" t="s">
        <v>89</v>
      </c>
      <c r="C28" s="117">
        <v>5219</v>
      </c>
      <c r="D28" s="117">
        <v>3306</v>
      </c>
      <c r="E28" s="117">
        <v>73</v>
      </c>
      <c r="F28" s="117">
        <f t="shared" si="0"/>
        <v>0.63345468480551825</v>
      </c>
      <c r="G28" s="117">
        <f t="shared" si="1"/>
        <v>1.3987353899214409E-2</v>
      </c>
    </row>
    <row r="29" spans="1:7">
      <c r="A29" s="117" t="s">
        <v>27</v>
      </c>
      <c r="B29" s="117" t="s">
        <v>89</v>
      </c>
      <c r="C29" s="117">
        <v>4471</v>
      </c>
      <c r="D29" s="117">
        <v>2628</v>
      </c>
      <c r="E29" s="117">
        <v>47</v>
      </c>
      <c r="F29" s="117">
        <f t="shared" si="0"/>
        <v>0.58778796689778579</v>
      </c>
      <c r="G29" s="117">
        <f t="shared" si="1"/>
        <v>1.0512189666741221E-2</v>
      </c>
    </row>
    <row r="30" spans="1:7">
      <c r="A30" s="117" t="s">
        <v>28</v>
      </c>
      <c r="B30" s="117" t="s">
        <v>89</v>
      </c>
      <c r="C30" s="117">
        <v>6192</v>
      </c>
      <c r="D30" s="117">
        <v>3652</v>
      </c>
      <c r="E30" s="117">
        <v>111</v>
      </c>
      <c r="F30" s="117">
        <f t="shared" si="0"/>
        <v>0.58979328165374678</v>
      </c>
      <c r="G30" s="117">
        <f t="shared" si="1"/>
        <v>1.7926356589147287E-2</v>
      </c>
    </row>
    <row r="31" spans="1:7">
      <c r="A31" s="117" t="s">
        <v>29</v>
      </c>
      <c r="B31" s="117" t="s">
        <v>89</v>
      </c>
      <c r="C31" s="117">
        <v>1176</v>
      </c>
      <c r="D31" s="117">
        <v>127</v>
      </c>
      <c r="E31" s="117">
        <v>21</v>
      </c>
      <c r="F31" s="117">
        <f t="shared" si="0"/>
        <v>0.10799319727891156</v>
      </c>
      <c r="G31" s="117">
        <f t="shared" si="1"/>
        <v>1.7857142857142856E-2</v>
      </c>
    </row>
    <row r="32" spans="1:7">
      <c r="A32" s="117" t="s">
        <v>90</v>
      </c>
      <c r="B32" s="117" t="s">
        <v>89</v>
      </c>
      <c r="C32" s="117">
        <v>827</v>
      </c>
      <c r="D32" s="117">
        <v>101</v>
      </c>
      <c r="E32" s="117">
        <v>91</v>
      </c>
      <c r="F32" s="117">
        <f t="shared" si="0"/>
        <v>0.12212817412333736</v>
      </c>
      <c r="G32" s="117">
        <f t="shared" si="1"/>
        <v>0.11003627569528417</v>
      </c>
    </row>
    <row r="33" spans="1:7">
      <c r="A33" s="117" t="s">
        <v>91</v>
      </c>
      <c r="B33" s="117" t="s">
        <v>89</v>
      </c>
      <c r="C33" s="117">
        <v>3537</v>
      </c>
      <c r="D33" s="117">
        <v>2088</v>
      </c>
      <c r="E33" s="117">
        <v>143</v>
      </c>
      <c r="F33" s="117">
        <f t="shared" si="0"/>
        <v>0.59033078880407119</v>
      </c>
      <c r="G33" s="117">
        <f t="shared" si="1"/>
        <v>4.0429742719819056E-2</v>
      </c>
    </row>
    <row r="34" spans="1:7">
      <c r="A34" s="117" t="s">
        <v>92</v>
      </c>
      <c r="B34" s="117" t="s">
        <v>89</v>
      </c>
      <c r="C34" s="117">
        <v>6539</v>
      </c>
      <c r="D34" s="117">
        <v>3715</v>
      </c>
      <c r="E34" s="117">
        <v>974</v>
      </c>
      <c r="F34" s="117">
        <f t="shared" si="0"/>
        <v>0.56812968343783454</v>
      </c>
      <c r="G34" s="117">
        <f t="shared" si="1"/>
        <v>0.14895243921088852</v>
      </c>
    </row>
    <row r="35" spans="1:7">
      <c r="A35" s="117" t="s">
        <v>93</v>
      </c>
      <c r="B35" s="117" t="s">
        <v>89</v>
      </c>
      <c r="C35" s="117">
        <v>5385</v>
      </c>
      <c r="D35" s="117">
        <v>3184</v>
      </c>
      <c r="E35" s="117">
        <v>296</v>
      </c>
      <c r="F35" s="117">
        <f t="shared" si="0"/>
        <v>0.59127205199628596</v>
      </c>
      <c r="G35" s="117">
        <f t="shared" si="1"/>
        <v>5.4967502321262768E-2</v>
      </c>
    </row>
    <row r="36" spans="1:7">
      <c r="A36" s="117" t="s">
        <v>94</v>
      </c>
      <c r="B36" s="117" t="s">
        <v>89</v>
      </c>
      <c r="C36" s="117">
        <v>4956</v>
      </c>
      <c r="D36" s="117">
        <v>3465</v>
      </c>
      <c r="E36" s="117">
        <v>1877</v>
      </c>
      <c r="F36" s="117">
        <f t="shared" si="0"/>
        <v>0.69915254237288138</v>
      </c>
      <c r="G36" s="117">
        <f t="shared" si="1"/>
        <v>0.37873284907183213</v>
      </c>
    </row>
    <row r="37" spans="1:7">
      <c r="A37" s="117" t="s">
        <v>95</v>
      </c>
      <c r="B37" s="117" t="s">
        <v>89</v>
      </c>
      <c r="C37" s="117">
        <v>3958</v>
      </c>
      <c r="D37" s="117">
        <v>2525</v>
      </c>
      <c r="E37" s="117">
        <v>83</v>
      </c>
      <c r="F37" s="117">
        <f t="shared" si="0"/>
        <v>0.63794845881758466</v>
      </c>
      <c r="G37" s="117">
        <f t="shared" si="1"/>
        <v>2.0970186963112682E-2</v>
      </c>
    </row>
    <row r="38" spans="1:7">
      <c r="A38" s="117" t="s">
        <v>96</v>
      </c>
      <c r="B38" s="117" t="s">
        <v>89</v>
      </c>
      <c r="C38" s="117">
        <v>2219</v>
      </c>
      <c r="D38" s="117">
        <v>1322</v>
      </c>
      <c r="E38" s="117">
        <v>20</v>
      </c>
      <c r="F38" s="117">
        <f t="shared" si="0"/>
        <v>0.59576385759351058</v>
      </c>
      <c r="G38" s="117">
        <f t="shared" si="1"/>
        <v>9.0130689499774673E-3</v>
      </c>
    </row>
    <row r="39" spans="1:7">
      <c r="A39" s="117" t="s">
        <v>32</v>
      </c>
      <c r="B39" s="117" t="s">
        <v>89</v>
      </c>
      <c r="C39" s="117">
        <v>5446</v>
      </c>
      <c r="D39" s="117">
        <v>3204</v>
      </c>
      <c r="E39" s="117">
        <v>515</v>
      </c>
      <c r="F39" s="117">
        <f t="shared" si="0"/>
        <v>0.58832170400293793</v>
      </c>
      <c r="G39" s="117">
        <f t="shared" si="1"/>
        <v>9.4564818215203822E-2</v>
      </c>
    </row>
    <row r="40" spans="1:7">
      <c r="A40" s="117" t="s">
        <v>97</v>
      </c>
      <c r="B40" s="117" t="s">
        <v>89</v>
      </c>
      <c r="C40" s="117">
        <v>1829</v>
      </c>
      <c r="D40" s="117">
        <v>1302</v>
      </c>
      <c r="E40" s="117">
        <v>35</v>
      </c>
      <c r="F40" s="117">
        <f t="shared" si="0"/>
        <v>0.71186440677966101</v>
      </c>
      <c r="G40" s="117">
        <f t="shared" si="1"/>
        <v>1.9136139967195188E-2</v>
      </c>
    </row>
    <row r="41" spans="1:7">
      <c r="A41" s="117" t="s">
        <v>98</v>
      </c>
      <c r="B41" s="117" t="s">
        <v>89</v>
      </c>
      <c r="C41" s="117">
        <v>13907</v>
      </c>
      <c r="D41" s="117">
        <v>7971</v>
      </c>
      <c r="E41" s="117">
        <v>395</v>
      </c>
      <c r="F41" s="117">
        <f t="shared" si="0"/>
        <v>0.57316459337024517</v>
      </c>
      <c r="G41" s="117">
        <f t="shared" si="1"/>
        <v>2.8402962536851945E-2</v>
      </c>
    </row>
    <row r="42" spans="1:7">
      <c r="A42" s="117" t="s">
        <v>99</v>
      </c>
      <c r="B42" s="117" t="s">
        <v>89</v>
      </c>
      <c r="C42" s="117">
        <v>8202</v>
      </c>
      <c r="D42" s="117">
        <v>4681</v>
      </c>
      <c r="E42" s="117">
        <v>448</v>
      </c>
      <c r="F42" s="117">
        <f t="shared" si="0"/>
        <v>0.5707144598878322</v>
      </c>
      <c r="G42" s="117">
        <f t="shared" si="1"/>
        <v>5.4620824189222143E-2</v>
      </c>
    </row>
    <row r="43" spans="1:7">
      <c r="A43" s="117" t="s">
        <v>33</v>
      </c>
      <c r="B43" s="117" t="s">
        <v>89</v>
      </c>
      <c r="C43" s="117">
        <v>4823</v>
      </c>
      <c r="D43" s="117">
        <v>3056</v>
      </c>
      <c r="E43" s="117">
        <v>176</v>
      </c>
      <c r="F43" s="117">
        <f t="shared" si="0"/>
        <v>0.6336305204229733</v>
      </c>
      <c r="G43" s="117">
        <f t="shared" si="1"/>
        <v>3.6491810076715737E-2</v>
      </c>
    </row>
    <row r="44" spans="1:7">
      <c r="A44" s="117" t="s">
        <v>100</v>
      </c>
      <c r="B44" s="117" t="s">
        <v>89</v>
      </c>
      <c r="C44" s="117">
        <v>8716</v>
      </c>
      <c r="D44" s="117">
        <v>5539</v>
      </c>
      <c r="E44" s="117">
        <v>4556</v>
      </c>
      <c r="F44" s="117">
        <f t="shared" si="0"/>
        <v>0.63549793483249195</v>
      </c>
      <c r="G44" s="117">
        <f t="shared" si="1"/>
        <v>0.52271684258834328</v>
      </c>
    </row>
    <row r="45" spans="1:7">
      <c r="A45" s="117" t="s">
        <v>101</v>
      </c>
      <c r="B45" s="117" t="s">
        <v>89</v>
      </c>
      <c r="C45" s="117">
        <v>7436</v>
      </c>
      <c r="D45" s="117">
        <v>4886</v>
      </c>
      <c r="E45" s="117">
        <v>4507</v>
      </c>
      <c r="F45" s="117">
        <f t="shared" si="0"/>
        <v>0.65707369553523398</v>
      </c>
      <c r="G45" s="117">
        <f t="shared" si="1"/>
        <v>0.60610543302850994</v>
      </c>
    </row>
    <row r="46" spans="1:7">
      <c r="A46" s="117" t="s">
        <v>102</v>
      </c>
      <c r="B46" s="117" t="s">
        <v>89</v>
      </c>
      <c r="C46" s="117">
        <v>11430</v>
      </c>
      <c r="D46" s="117">
        <v>6536</v>
      </c>
      <c r="E46" s="117">
        <v>1023</v>
      </c>
      <c r="F46" s="117">
        <f t="shared" si="0"/>
        <v>0.57182852143482066</v>
      </c>
      <c r="G46" s="117">
        <f t="shared" si="1"/>
        <v>8.9501312335958011E-2</v>
      </c>
    </row>
    <row r="47" spans="1:7">
      <c r="A47" s="117" t="s">
        <v>103</v>
      </c>
      <c r="B47" s="117" t="s">
        <v>89</v>
      </c>
      <c r="C47" s="117">
        <v>1530</v>
      </c>
      <c r="D47" s="117">
        <v>866</v>
      </c>
      <c r="E47" s="117">
        <v>51</v>
      </c>
      <c r="F47" s="117">
        <f t="shared" si="0"/>
        <v>0.56601307189542482</v>
      </c>
      <c r="G47" s="117">
        <f t="shared" si="1"/>
        <v>3.3333333333333333E-2</v>
      </c>
    </row>
    <row r="48" spans="1:7">
      <c r="A48" s="117" t="s">
        <v>34</v>
      </c>
      <c r="B48" s="117" t="s">
        <v>89</v>
      </c>
      <c r="C48" s="117">
        <v>3730</v>
      </c>
      <c r="D48" s="117">
        <v>2455</v>
      </c>
      <c r="E48" s="117">
        <v>399</v>
      </c>
      <c r="F48" s="117">
        <f t="shared" si="0"/>
        <v>0.6581769436997319</v>
      </c>
      <c r="G48" s="117">
        <f t="shared" si="1"/>
        <v>0.10697050938337802</v>
      </c>
    </row>
    <row r="49" spans="1:7">
      <c r="A49" s="117" t="s">
        <v>104</v>
      </c>
      <c r="B49" s="117" t="s">
        <v>105</v>
      </c>
      <c r="C49" s="117">
        <v>1716</v>
      </c>
      <c r="D49" s="117">
        <v>1147</v>
      </c>
      <c r="E49" s="117">
        <v>1440</v>
      </c>
      <c r="F49" s="117">
        <f t="shared" si="0"/>
        <v>0.6684149184149184</v>
      </c>
      <c r="G49" s="117">
        <f t="shared" si="1"/>
        <v>0.83916083916083917</v>
      </c>
    </row>
    <row r="50" spans="1:7">
      <c r="A50" s="117" t="s">
        <v>19</v>
      </c>
      <c r="B50" s="117" t="s">
        <v>105</v>
      </c>
      <c r="C50" s="117">
        <v>3349</v>
      </c>
      <c r="D50" s="117">
        <v>2036</v>
      </c>
      <c r="E50" s="117">
        <v>1242</v>
      </c>
      <c r="F50" s="117">
        <f t="shared" si="0"/>
        <v>0.60794266945356823</v>
      </c>
      <c r="G50" s="117">
        <f t="shared" si="1"/>
        <v>0.37085697223051656</v>
      </c>
    </row>
    <row r="51" spans="1:7">
      <c r="A51" s="117" t="s">
        <v>106</v>
      </c>
      <c r="B51" s="117" t="s">
        <v>105</v>
      </c>
      <c r="C51" s="117">
        <v>7205</v>
      </c>
      <c r="D51" s="117">
        <v>1609</v>
      </c>
      <c r="E51" s="117">
        <v>315</v>
      </c>
      <c r="F51" s="117">
        <f t="shared" si="0"/>
        <v>0.22331714087439278</v>
      </c>
      <c r="G51" s="117">
        <f t="shared" si="1"/>
        <v>4.3719639139486469E-2</v>
      </c>
    </row>
    <row r="52" spans="1:7">
      <c r="A52" s="117" t="s">
        <v>107</v>
      </c>
      <c r="B52" s="117" t="s">
        <v>105</v>
      </c>
      <c r="C52" s="117">
        <v>20472</v>
      </c>
      <c r="D52" s="117">
        <v>11488</v>
      </c>
      <c r="E52" s="117">
        <v>608</v>
      </c>
      <c r="F52" s="117">
        <f t="shared" si="0"/>
        <v>0.56115670183665489</v>
      </c>
      <c r="G52" s="117">
        <f t="shared" si="1"/>
        <v>2.9699101211410707E-2</v>
      </c>
    </row>
    <row r="53" spans="1:7">
      <c r="A53" s="117" t="s">
        <v>108</v>
      </c>
      <c r="B53" s="117" t="s">
        <v>105</v>
      </c>
      <c r="C53" s="117">
        <v>5802</v>
      </c>
      <c r="D53" s="117">
        <v>3368</v>
      </c>
      <c r="E53" s="117">
        <v>223</v>
      </c>
      <c r="F53" s="117">
        <f t="shared" si="0"/>
        <v>0.58048948638400555</v>
      </c>
      <c r="G53" s="117">
        <f t="shared" si="1"/>
        <v>3.8435022406066874E-2</v>
      </c>
    </row>
    <row r="54" spans="1:7">
      <c r="A54" s="117" t="s">
        <v>109</v>
      </c>
      <c r="B54" s="117" t="s">
        <v>105</v>
      </c>
      <c r="C54" s="117">
        <v>6095</v>
      </c>
      <c r="D54" s="117">
        <v>3454</v>
      </c>
      <c r="E54" s="117">
        <v>557</v>
      </c>
      <c r="F54" s="117">
        <f t="shared" si="0"/>
        <v>0.56669401148482368</v>
      </c>
      <c r="G54" s="117">
        <f t="shared" si="1"/>
        <v>9.1386382280557829E-2</v>
      </c>
    </row>
    <row r="55" spans="1:7">
      <c r="A55" s="117" t="s">
        <v>110</v>
      </c>
      <c r="B55" s="117" t="s">
        <v>105</v>
      </c>
      <c r="C55" s="117">
        <v>7142</v>
      </c>
      <c r="D55" s="117">
        <v>3987</v>
      </c>
      <c r="E55" s="117">
        <v>352</v>
      </c>
      <c r="F55" s="117">
        <f t="shared" si="0"/>
        <v>0.55824698963875663</v>
      </c>
      <c r="G55" s="117">
        <f t="shared" si="1"/>
        <v>4.9285914309717169E-2</v>
      </c>
    </row>
    <row r="56" spans="1:7">
      <c r="A56" s="117" t="s">
        <v>111</v>
      </c>
      <c r="B56" s="117" t="s">
        <v>105</v>
      </c>
      <c r="C56" s="117">
        <v>11033</v>
      </c>
      <c r="D56" s="117">
        <v>6584</v>
      </c>
      <c r="E56" s="117">
        <v>870</v>
      </c>
      <c r="F56" s="117">
        <f t="shared" si="0"/>
        <v>0.59675518897851898</v>
      </c>
      <c r="G56" s="117">
        <f t="shared" si="1"/>
        <v>7.8854346052750837E-2</v>
      </c>
    </row>
    <row r="57" spans="1:7">
      <c r="A57" s="117" t="s">
        <v>20</v>
      </c>
      <c r="B57" s="117" t="s">
        <v>105</v>
      </c>
      <c r="C57" s="117">
        <v>6035</v>
      </c>
      <c r="D57" s="117">
        <v>3581</v>
      </c>
      <c r="E57" s="117">
        <v>245</v>
      </c>
      <c r="F57" s="117">
        <f t="shared" si="0"/>
        <v>0.59337199668599838</v>
      </c>
      <c r="G57" s="117">
        <f t="shared" si="1"/>
        <v>4.059652029826015E-2</v>
      </c>
    </row>
    <row r="58" spans="1:7">
      <c r="A58" s="117" t="s">
        <v>112</v>
      </c>
      <c r="B58" s="117" t="s">
        <v>105</v>
      </c>
      <c r="C58" s="117">
        <v>11351</v>
      </c>
      <c r="D58" s="117">
        <v>6335</v>
      </c>
      <c r="E58" s="117">
        <v>901</v>
      </c>
      <c r="F58" s="117">
        <f t="shared" si="0"/>
        <v>0.55810060787595805</v>
      </c>
      <c r="G58" s="117">
        <f t="shared" si="1"/>
        <v>7.9376266408245966E-2</v>
      </c>
    </row>
    <row r="59" spans="1:7">
      <c r="A59" s="117" t="s">
        <v>21</v>
      </c>
      <c r="B59" s="117" t="s">
        <v>105</v>
      </c>
      <c r="C59" s="117">
        <v>32341</v>
      </c>
      <c r="D59" s="117">
        <v>17224</v>
      </c>
      <c r="E59" s="117">
        <v>2066</v>
      </c>
      <c r="F59" s="117">
        <f t="shared" si="0"/>
        <v>0.53257475031693513</v>
      </c>
      <c r="G59" s="117">
        <f t="shared" si="1"/>
        <v>6.3881759995052717E-2</v>
      </c>
    </row>
    <row r="60" spans="1:7">
      <c r="A60" s="117" t="s">
        <v>22</v>
      </c>
      <c r="B60" s="117" t="s">
        <v>105</v>
      </c>
      <c r="C60" s="117">
        <v>15259</v>
      </c>
      <c r="D60" s="117">
        <v>8712</v>
      </c>
      <c r="E60" s="117">
        <v>1727</v>
      </c>
      <c r="F60" s="117">
        <f t="shared" si="0"/>
        <v>0.57094173930139591</v>
      </c>
      <c r="G60" s="117">
        <f t="shared" si="1"/>
        <v>0.11317910741201914</v>
      </c>
    </row>
    <row r="61" spans="1:7">
      <c r="A61" s="117" t="s">
        <v>23</v>
      </c>
      <c r="B61" s="117" t="s">
        <v>105</v>
      </c>
      <c r="C61" s="117">
        <v>16791</v>
      </c>
      <c r="D61" s="117">
        <v>10206</v>
      </c>
      <c r="E61" s="117">
        <v>2520</v>
      </c>
      <c r="F61" s="117">
        <f t="shared" si="0"/>
        <v>0.60782562086832237</v>
      </c>
      <c r="G61" s="117">
        <f t="shared" si="1"/>
        <v>0.15008040021440058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Table 63 - Trend in HCT of Afri</vt:lpstr>
      <vt:lpstr>pivot</vt:lpstr>
      <vt:lpstr>data_2010</vt:lpstr>
      <vt:lpstr>'Table 63 - Trend in HCT of Afri'!Print_Area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Chambers, Eric</dc:creator>
  <cp:lastModifiedBy>echamber</cp:lastModifiedBy>
  <cp:lastPrinted>2010-03-09T21:23:13Z</cp:lastPrinted>
  <dcterms:created xsi:type="dcterms:W3CDTF">2003-06-19T20:34:16Z</dcterms:created>
  <dcterms:modified xsi:type="dcterms:W3CDTF">2011-08-30T21:02:39Z</dcterms:modified>
</cp:coreProperties>
</file>