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63 - Trend in HCT of Afri" sheetId="1" r:id="rId1"/>
  </sheets>
  <definedNames/>
  <calcPr fullCalcOnLoad="1"/>
</workbook>
</file>

<file path=xl/sharedStrings.xml><?xml version="1.0" encoding="utf-8"?>
<sst xmlns="http://schemas.openxmlformats.org/spreadsheetml/2006/main" count="668" uniqueCount="105">
  <si>
    <t xml:space="preserve">HISTORICAL TREND IN TOTAL HEADCOUNT ENROLLMENT OF AFRICAN-AMERICAN STUDENTS AT PUBLIC INSTITUTIONS, </t>
  </si>
  <si>
    <t>AFRICAN-AMERICANS AS % OF TOTAL</t>
  </si>
  <si>
    <t>NUMBER OF AFRICAN-AMERICANS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</si>
  <si>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</si>
  <si>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</si>
  <si>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</si>
  <si>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</si>
  <si>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</si>
  <si>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</si>
  <si>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</si>
  <si>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</si>
  <si>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</si>
  <si>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</si>
  <si>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</si>
  <si>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</si>
  <si>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</si>
  <si>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</si>
  <si>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</si>
  <si>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</si>
  <si>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</si>
  <si>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</si>
  <si>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</si>
  <si>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</si>
  <si>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</si>
  <si>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</si>
  <si>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</si>
  <si>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</si>
  <si>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</si>
  <si>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</si>
  <si>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</si>
  <si>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</si>
  <si>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</si>
  <si>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</si>
  <si>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</si>
  <si>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</si>
  <si>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</si>
  <si>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</si>
  <si>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</si>
  <si>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</si>
  <si>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</si>
  <si>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</si>
  <si>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</si>
  <si>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</si>
  <si>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</si>
  <si>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</si>
  <si>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</si>
  <si>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</si>
  <si>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</si>
  <si>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</si>
  <si>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</si>
  <si>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</si>
  <si>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</si>
  <si>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</si>
  <si>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 xml:space="preserve">HISTORICAL TREND IN TOTAL HEADCOUNT ENROLLMENT OF AFRICAN-AMERICAN STUDENTS AT PRIVATE NOT-FOR-PROFIT </t>
  </si>
  <si>
    <t>PRIVATE NOT-FOR-PROFIT (INDEPENDENT) BACCALAUREATE AND HIGHER DEGREE-GRANTING INSTITUTIONS</t>
  </si>
  <si>
    <t>AVILA</t>
  </si>
  <si>
    <t>#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</si>
  <si>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</si>
  <si>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</si>
  <si>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</si>
  <si>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</si>
  <si>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</si>
  <si>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</si>
  <si>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</si>
  <si>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</si>
  <si>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</si>
  <si>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</si>
  <si>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</si>
  <si>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</si>
  <si>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</si>
  <si>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</si>
  <si>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</si>
  <si>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</si>
  <si>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</si>
  <si>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</si>
  <si>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</si>
  <si>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</si>
  <si>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</si>
  <si>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</si>
  <si>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</si>
  <si>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</si>
  <si>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</si>
  <si>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</si>
  <si>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NORTHWEST MO. CC.</t>
  </si>
  <si>
    <t>ST. MARY'S</t>
  </si>
  <si>
    <t>ST. PAUL'S</t>
  </si>
  <si>
    <t>WENTWORTH</t>
  </si>
  <si>
    <t>PRIVATE NOT-FOR-PROFIT (INDEPENDENT) TOTAL</t>
  </si>
  <si>
    <t>STATE TOTAL</t>
  </si>
  <si>
    <t xml:space="preserve"> #Racial/ethnic data was not submitted.</t>
  </si>
  <si>
    <t>TABLE 63</t>
  </si>
  <si>
    <t>TABLE 64</t>
  </si>
  <si>
    <t xml:space="preserve"> </t>
  </si>
  <si>
    <t>MSU - WEST PLAINS</t>
  </si>
  <si>
    <t>MISSOURI STATE</t>
  </si>
  <si>
    <t>UCM</t>
  </si>
  <si>
    <t>CENTRAL METHODIST - GR/EXT</t>
  </si>
  <si>
    <t>(INDEPENDENT) INSTITUTIONS, FALL 1981, FALL 2002-FALL 2006</t>
  </si>
  <si>
    <t>FALL 1981, FALL 2002-FALL 2006</t>
  </si>
  <si>
    <t>MCC - BLUE RIVER</t>
  </si>
  <si>
    <t>MCC - BUS. AND TECHNOLOGY</t>
  </si>
  <si>
    <t>MCC - LONGVIEW</t>
  </si>
  <si>
    <t>MCC - MAPLE WOODS</t>
  </si>
  <si>
    <t>MCC - PENN VALLEY</t>
  </si>
  <si>
    <t>CENTRAL METHODIST / CLAS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</si>
</sst>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double"/>
    </border>
    <border>
      <left style="thick">
        <color indexed="8"/>
      </left>
      <right style="thin"/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ck">
        <color indexed="8"/>
      </right>
      <top style="double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9" fontId="5" fillId="2" borderId="2" xfId="0" applyNumberFormat="1" applyFont="1" applyFill="1" applyAlignment="1">
      <alignment/>
    </xf>
    <xf numFmtId="0" fontId="5" fillId="2" borderId="2" xfId="0" applyFont="1" applyFill="1" applyAlignment="1">
      <alignment/>
    </xf>
    <xf numFmtId="0" fontId="5" fillId="2" borderId="1" xfId="0" applyNumberFormat="1" applyFont="1" applyFill="1" applyAlignment="1">
      <alignment horizontal="centerContinuous"/>
    </xf>
    <xf numFmtId="0" fontId="5" fillId="2" borderId="0" xfId="0" applyFont="1" applyFill="1" applyAlignment="1">
      <alignment/>
    </xf>
    <xf numFmtId="9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2" xfId="0" applyFont="1" applyAlignment="1">
      <alignment/>
    </xf>
    <xf numFmtId="9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1" xfId="0" applyFont="1" applyAlignment="1">
      <alignment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2" borderId="2" xfId="0" applyNumberFormat="1" applyFont="1" applyFill="1" applyAlignment="1">
      <alignment horizontal="center"/>
    </xf>
    <xf numFmtId="0" fontId="5" fillId="2" borderId="2" xfId="0" applyFont="1" applyFill="1" applyAlignment="1">
      <alignment horizontal="center"/>
    </xf>
    <xf numFmtId="0" fontId="5" fillId="2" borderId="3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NumberFormat="1" applyFont="1" applyAlignment="1">
      <alignment horizontal="center"/>
    </xf>
    <xf numFmtId="0" fontId="4" fillId="0" borderId="2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9" fontId="5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9" fontId="5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Continuous"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5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9" fontId="5" fillId="2" borderId="0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4" xfId="0" applyFont="1" applyBorder="1" applyAlignment="1">
      <alignment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9" fontId="5" fillId="2" borderId="8" xfId="0" applyNumberFormat="1" applyFont="1" applyFill="1" applyBorder="1" applyAlignment="1">
      <alignment/>
    </xf>
    <xf numFmtId="9" fontId="5" fillId="2" borderId="8" xfId="0" applyNumberFormat="1" applyFont="1" applyFill="1" applyBorder="1" applyAlignment="1">
      <alignment horizontal="right"/>
    </xf>
    <xf numFmtId="9" fontId="5" fillId="2" borderId="9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2" borderId="8" xfId="0" applyNumberFormat="1" applyFont="1" applyFill="1" applyBorder="1" applyAlignment="1">
      <alignment/>
    </xf>
    <xf numFmtId="3" fontId="4" fillId="0" borderId="8" xfId="0" applyNumberFormat="1" applyFont="1" applyBorder="1" applyAlignment="1">
      <alignment horizontal="right"/>
    </xf>
    <xf numFmtId="3" fontId="5" fillId="2" borderId="9" xfId="0" applyNumberFormat="1" applyFont="1" applyFill="1" applyBorder="1" applyAlignment="1">
      <alignment/>
    </xf>
    <xf numFmtId="9" fontId="5" fillId="2" borderId="7" xfId="0" applyNumberFormat="1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4" fillId="0" borderId="8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/>
    </xf>
    <xf numFmtId="9" fontId="5" fillId="2" borderId="0" xfId="0" applyNumberFormat="1" applyFont="1" applyFill="1" applyBorder="1" applyAlignment="1" quotePrefix="1">
      <alignment horizontal="right"/>
    </xf>
    <xf numFmtId="0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9" fontId="5" fillId="2" borderId="13" xfId="0" applyNumberFormat="1" applyFont="1" applyFill="1" applyBorder="1" applyAlignment="1">
      <alignment/>
    </xf>
    <xf numFmtId="9" fontId="5" fillId="2" borderId="13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9" fontId="5" fillId="2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/>
    </xf>
    <xf numFmtId="9" fontId="5" fillId="2" borderId="16" xfId="0" applyNumberFormat="1" applyFont="1" applyFill="1" applyBorder="1" applyAlignment="1">
      <alignment/>
    </xf>
    <xf numFmtId="9" fontId="5" fillId="2" borderId="13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Continuous"/>
    </xf>
    <xf numFmtId="0" fontId="5" fillId="2" borderId="18" xfId="0" applyNumberFormat="1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 horizontal="right"/>
    </xf>
    <xf numFmtId="9" fontId="5" fillId="2" borderId="20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/>
    </xf>
    <xf numFmtId="0" fontId="5" fillId="2" borderId="23" xfId="0" applyNumberFormat="1" applyFont="1" applyFill="1" applyBorder="1" applyAlignment="1">
      <alignment horizontal="centerContinuous"/>
    </xf>
    <xf numFmtId="0" fontId="5" fillId="2" borderId="24" xfId="0" applyNumberFormat="1" applyFont="1" applyFill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6"/>
  <sheetViews>
    <sheetView tabSelected="1" showOutlineSymbols="0" zoomScale="87" zoomScaleNormal="87" workbookViewId="0" topLeftCell="A1">
      <selection activeCell="BB17" sqref="BB17"/>
    </sheetView>
  </sheetViews>
  <sheetFormatPr defaultColWidth="9.33203125" defaultRowHeight="9.75"/>
  <cols>
    <col min="1" max="1" width="40.66015625" style="13" customWidth="1"/>
    <col min="2" max="2" width="6.83203125" style="13" customWidth="1"/>
    <col min="3" max="6" width="6.83203125" style="13" hidden="1" customWidth="1"/>
    <col min="7" max="7" width="7" style="13" hidden="1" customWidth="1"/>
    <col min="8" max="8" width="7" style="13" customWidth="1"/>
    <col min="9" max="12" width="7" style="47" customWidth="1"/>
    <col min="13" max="13" width="8" style="13" customWidth="1"/>
    <col min="14" max="15" width="8" style="13" hidden="1" customWidth="1"/>
    <col min="16" max="16" width="7" style="13" hidden="1" customWidth="1"/>
    <col min="17" max="18" width="8" style="13" hidden="1" customWidth="1"/>
    <col min="19" max="21" width="8" style="13" bestFit="1" customWidth="1"/>
    <col min="22" max="22" width="8" style="13" customWidth="1"/>
    <col min="23" max="26" width="9.16015625" style="13" hidden="1" customWidth="1"/>
    <col min="27" max="27" width="25.83203125" style="13" hidden="1" customWidth="1"/>
    <col min="28" max="46" width="9.16015625" style="13" hidden="1" customWidth="1"/>
    <col min="47" max="47" width="8" style="13" hidden="1" customWidth="1"/>
    <col min="48" max="48" width="8" style="13" customWidth="1"/>
    <col min="49" max="229" width="15.83203125" style="13" customWidth="1"/>
    <col min="230" max="16384" width="15.83203125" style="0" customWidth="1"/>
  </cols>
  <sheetData>
    <row r="1" ht="12.75" customHeight="1">
      <c r="A1" s="2" t="s">
        <v>90</v>
      </c>
    </row>
    <row r="2" ht="12.75" customHeight="1">
      <c r="A2" s="2" t="s">
        <v>0</v>
      </c>
    </row>
    <row r="3" ht="12.75" customHeight="1">
      <c r="A3" s="2" t="s">
        <v>98</v>
      </c>
    </row>
    <row r="4" spans="1:48" ht="12.75" customHeight="1" thickBot="1">
      <c r="A4" s="9"/>
      <c r="B4" s="9"/>
      <c r="C4" s="9"/>
      <c r="D4" s="9"/>
      <c r="E4" s="9"/>
      <c r="F4" s="9"/>
      <c r="G4" s="9"/>
      <c r="H4" s="9"/>
      <c r="I4" s="45"/>
      <c r="J4" s="45"/>
      <c r="K4" s="45"/>
      <c r="L4" s="45"/>
      <c r="M4" s="9"/>
      <c r="N4" s="9"/>
      <c r="O4" s="9"/>
      <c r="P4" s="9"/>
      <c r="Q4" s="9"/>
      <c r="R4" s="9"/>
      <c r="S4" s="9"/>
      <c r="T4" s="9"/>
      <c r="U4" s="9"/>
      <c r="V4" s="9"/>
      <c r="AR4" s="9"/>
      <c r="AS4" s="52"/>
      <c r="AT4" s="52"/>
      <c r="AU4" s="9"/>
      <c r="AV4" s="9"/>
    </row>
    <row r="5" spans="1:48" ht="12.75" customHeight="1" thickTop="1">
      <c r="A5" s="18"/>
      <c r="B5" s="25" t="s">
        <v>1</v>
      </c>
      <c r="C5" s="8"/>
      <c r="D5" s="8"/>
      <c r="E5" s="8"/>
      <c r="F5" s="8"/>
      <c r="G5" s="8"/>
      <c r="H5" s="8"/>
      <c r="I5" s="54"/>
      <c r="J5" s="54"/>
      <c r="K5" s="104"/>
      <c r="L5" s="105"/>
      <c r="M5" s="92" t="s">
        <v>2</v>
      </c>
      <c r="N5" s="8"/>
      <c r="O5" s="8"/>
      <c r="P5" s="8"/>
      <c r="Q5" s="8"/>
      <c r="R5" s="8"/>
      <c r="S5" s="8"/>
      <c r="T5" s="8"/>
      <c r="U5" s="8"/>
      <c r="V5" s="8"/>
      <c r="W5" s="22" t="s">
        <v>92</v>
      </c>
      <c r="X5" s="22"/>
      <c r="Y5" s="22"/>
      <c r="Z5" s="22"/>
      <c r="AA5" s="5" t="s">
        <v>3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7"/>
      <c r="AR5" s="8"/>
      <c r="AS5" s="51"/>
      <c r="AT5" s="86"/>
      <c r="AU5" s="8"/>
      <c r="AV5" s="8"/>
    </row>
    <row r="6" spans="2:48" ht="12.75" customHeight="1">
      <c r="B6" s="78" t="s">
        <v>4</v>
      </c>
      <c r="C6" s="24" t="s">
        <v>4</v>
      </c>
      <c r="D6" s="24" t="s">
        <v>4</v>
      </c>
      <c r="E6" s="55" t="s">
        <v>4</v>
      </c>
      <c r="F6" s="23" t="s">
        <v>4</v>
      </c>
      <c r="G6" s="23" t="s">
        <v>4</v>
      </c>
      <c r="H6" s="23" t="s">
        <v>4</v>
      </c>
      <c r="I6" s="77" t="s">
        <v>4</v>
      </c>
      <c r="J6" s="73" t="s">
        <v>4</v>
      </c>
      <c r="K6" s="74" t="s">
        <v>4</v>
      </c>
      <c r="L6" s="74" t="s">
        <v>4</v>
      </c>
      <c r="M6" s="93" t="s">
        <v>4</v>
      </c>
      <c r="N6" s="29" t="s">
        <v>4</v>
      </c>
      <c r="O6" s="29" t="s">
        <v>4</v>
      </c>
      <c r="P6" s="62" t="s">
        <v>4</v>
      </c>
      <c r="Q6" s="28" t="s">
        <v>4</v>
      </c>
      <c r="R6" s="28" t="s">
        <v>4</v>
      </c>
      <c r="S6" s="28" t="s">
        <v>4</v>
      </c>
      <c r="T6" s="28" t="s">
        <v>4</v>
      </c>
      <c r="U6" s="28" t="s">
        <v>4</v>
      </c>
      <c r="V6" s="28" t="s">
        <v>4</v>
      </c>
      <c r="W6" s="28" t="s">
        <v>4</v>
      </c>
      <c r="X6" s="28" t="s">
        <v>4</v>
      </c>
      <c r="Y6" s="28" t="s">
        <v>4</v>
      </c>
      <c r="Z6" s="28" t="s">
        <v>4</v>
      </c>
      <c r="AA6" s="28" t="s">
        <v>4</v>
      </c>
      <c r="AB6" s="28" t="s">
        <v>4</v>
      </c>
      <c r="AC6" s="28" t="s">
        <v>4</v>
      </c>
      <c r="AD6" s="28" t="s">
        <v>4</v>
      </c>
      <c r="AE6" s="28" t="s">
        <v>4</v>
      </c>
      <c r="AF6" s="28" t="s">
        <v>4</v>
      </c>
      <c r="AG6" s="28" t="s">
        <v>4</v>
      </c>
      <c r="AH6" s="28" t="s">
        <v>4</v>
      </c>
      <c r="AI6" s="28" t="s">
        <v>4</v>
      </c>
      <c r="AJ6" s="28" t="s">
        <v>4</v>
      </c>
      <c r="AK6" s="28" t="s">
        <v>4</v>
      </c>
      <c r="AL6" s="28" t="s">
        <v>4</v>
      </c>
      <c r="AM6" s="28" t="s">
        <v>4</v>
      </c>
      <c r="AN6" s="28" t="s">
        <v>4</v>
      </c>
      <c r="AO6" s="28" t="s">
        <v>4</v>
      </c>
      <c r="AP6" s="28" t="s">
        <v>4</v>
      </c>
      <c r="AQ6" s="28" t="s">
        <v>4</v>
      </c>
      <c r="AR6" s="28" t="s">
        <v>4</v>
      </c>
      <c r="AS6" s="28" t="s">
        <v>4</v>
      </c>
      <c r="AT6" s="28" t="s">
        <v>4</v>
      </c>
      <c r="AU6" s="28" t="s">
        <v>4</v>
      </c>
      <c r="AV6" s="28" t="s">
        <v>4</v>
      </c>
    </row>
    <row r="7" spans="2:48" ht="12.75" customHeight="1">
      <c r="B7" s="79" t="s">
        <v>5</v>
      </c>
      <c r="C7" s="27" t="s">
        <v>6</v>
      </c>
      <c r="D7" s="26" t="s">
        <v>7</v>
      </c>
      <c r="E7" s="56" t="s">
        <v>8</v>
      </c>
      <c r="F7" s="26">
        <v>2000</v>
      </c>
      <c r="G7" s="26">
        <v>2001</v>
      </c>
      <c r="H7" s="26">
        <v>2002</v>
      </c>
      <c r="I7" s="53">
        <v>2003</v>
      </c>
      <c r="J7" s="74">
        <v>2004</v>
      </c>
      <c r="K7" s="53">
        <v>2005</v>
      </c>
      <c r="L7" s="74">
        <v>2006</v>
      </c>
      <c r="M7" s="94" t="s">
        <v>5</v>
      </c>
      <c r="N7" s="27" t="s">
        <v>6</v>
      </c>
      <c r="O7" s="26" t="s">
        <v>7</v>
      </c>
      <c r="P7" s="56" t="s">
        <v>8</v>
      </c>
      <c r="Q7" s="26">
        <v>2000</v>
      </c>
      <c r="R7" s="26">
        <v>2001</v>
      </c>
      <c r="S7" s="26">
        <v>2002</v>
      </c>
      <c r="T7" s="26">
        <v>2003</v>
      </c>
      <c r="U7" s="26">
        <v>2004</v>
      </c>
      <c r="V7" s="26">
        <v>2005</v>
      </c>
      <c r="W7" s="32" t="s">
        <v>5</v>
      </c>
      <c r="X7" s="32" t="s">
        <v>9</v>
      </c>
      <c r="Y7" s="32" t="s">
        <v>10</v>
      </c>
      <c r="Z7" s="32" t="s">
        <v>11</v>
      </c>
      <c r="AA7" s="32" t="s">
        <v>12</v>
      </c>
      <c r="AB7" s="32" t="s">
        <v>13</v>
      </c>
      <c r="AC7" s="32" t="s">
        <v>14</v>
      </c>
      <c r="AD7" s="32" t="s">
        <v>15</v>
      </c>
      <c r="AE7" s="32" t="s">
        <v>16</v>
      </c>
      <c r="AF7" s="32" t="s">
        <v>17</v>
      </c>
      <c r="AG7" s="13">
        <v>1991</v>
      </c>
      <c r="AH7" s="13">
        <v>1992</v>
      </c>
      <c r="AI7" s="13">
        <v>1993</v>
      </c>
      <c r="AJ7" s="13">
        <v>1994</v>
      </c>
      <c r="AK7" s="13">
        <v>1995</v>
      </c>
      <c r="AL7" s="13">
        <v>1996</v>
      </c>
      <c r="AM7" s="32" t="s">
        <v>6</v>
      </c>
      <c r="AN7" s="31" t="s">
        <v>7</v>
      </c>
      <c r="AO7" s="31" t="s">
        <v>8</v>
      </c>
      <c r="AP7" s="31">
        <v>2000</v>
      </c>
      <c r="AQ7" s="31">
        <v>2001</v>
      </c>
      <c r="AR7" s="26">
        <v>2002</v>
      </c>
      <c r="AS7" s="53">
        <v>2003</v>
      </c>
      <c r="AT7" s="87">
        <v>2004</v>
      </c>
      <c r="AU7" s="26">
        <v>2005</v>
      </c>
      <c r="AV7" s="26">
        <v>2006</v>
      </c>
    </row>
    <row r="8" spans="2:48" ht="12.75" customHeight="1">
      <c r="B8" s="80"/>
      <c r="C8" s="7"/>
      <c r="D8" s="7"/>
      <c r="E8" s="57"/>
      <c r="F8" s="7"/>
      <c r="G8" s="7"/>
      <c r="H8" s="7"/>
      <c r="I8" s="45"/>
      <c r="J8" s="44"/>
      <c r="K8" s="45"/>
      <c r="L8" s="44"/>
      <c r="M8" s="95"/>
      <c r="N8" s="15"/>
      <c r="O8" s="15"/>
      <c r="P8" s="63"/>
      <c r="Q8" s="15"/>
      <c r="R8" s="15"/>
      <c r="S8" s="15"/>
      <c r="T8" s="15"/>
      <c r="U8" s="15"/>
      <c r="V8" s="15"/>
      <c r="AQ8" s="15"/>
      <c r="AU8" s="15"/>
      <c r="AV8" s="15"/>
    </row>
    <row r="9" spans="1:16" ht="34.5" customHeight="1">
      <c r="A9" s="12" t="s">
        <v>18</v>
      </c>
      <c r="B9" s="81"/>
      <c r="C9" s="9"/>
      <c r="D9" s="9"/>
      <c r="E9" s="58"/>
      <c r="F9" s="9"/>
      <c r="G9" s="9"/>
      <c r="H9" s="9"/>
      <c r="I9" s="45"/>
      <c r="J9" s="45"/>
      <c r="K9" s="45"/>
      <c r="L9" s="45"/>
      <c r="M9" s="96"/>
      <c r="P9" s="64"/>
    </row>
    <row r="10" spans="1:16" ht="12.75" customHeight="1">
      <c r="A10" s="3"/>
      <c r="B10" s="81"/>
      <c r="C10" s="9"/>
      <c r="D10" s="9"/>
      <c r="E10" s="58"/>
      <c r="F10" s="9"/>
      <c r="G10" s="9"/>
      <c r="H10" s="9"/>
      <c r="I10" s="45"/>
      <c r="J10" s="45"/>
      <c r="K10" s="45"/>
      <c r="L10" s="45"/>
      <c r="M10" s="96"/>
      <c r="P10" s="64"/>
    </row>
    <row r="11" spans="1:48" ht="12.75" customHeight="1">
      <c r="A11" s="3" t="s">
        <v>19</v>
      </c>
      <c r="B11" s="82">
        <v>0.7914653784219001</v>
      </c>
      <c r="C11" s="10">
        <v>0.7383449883449883</v>
      </c>
      <c r="D11" s="10">
        <v>0.7244956772334294</v>
      </c>
      <c r="E11" s="59">
        <v>0.75</v>
      </c>
      <c r="F11" s="10">
        <v>0.7703663203936577</v>
      </c>
      <c r="G11" s="10">
        <v>0.7964601769911505</v>
      </c>
      <c r="H11" s="10">
        <f aca="true" t="shared" si="0" ref="H11:H23">+S11/AR11</f>
        <v>0.7992886178861789</v>
      </c>
      <c r="I11" s="48">
        <f aca="true" t="shared" si="1" ref="I11:I23">+T11/AS11</f>
        <v>0.8532838983050848</v>
      </c>
      <c r="J11" s="48">
        <f aca="true" t="shared" si="2" ref="J11:J23">+U11/AT11</f>
        <v>0.838006230529595</v>
      </c>
      <c r="K11" s="48">
        <f>+V11/AU11</f>
        <v>0.8694344163658243</v>
      </c>
      <c r="L11" s="48">
        <v>0.8977516059957173</v>
      </c>
      <c r="M11" s="97">
        <v>983</v>
      </c>
      <c r="N11" s="21">
        <f>328+939</f>
        <v>1267</v>
      </c>
      <c r="O11" s="21">
        <f>328+929</f>
        <v>1257</v>
      </c>
      <c r="P11" s="65">
        <f>335+979</f>
        <v>1314</v>
      </c>
      <c r="Q11" s="21">
        <v>1409</v>
      </c>
      <c r="R11" s="21">
        <f>339+1191</f>
        <v>1530</v>
      </c>
      <c r="S11" s="21">
        <f>336+1237</f>
        <v>1573</v>
      </c>
      <c r="T11" s="21">
        <f>320+1291</f>
        <v>1611</v>
      </c>
      <c r="U11" s="21">
        <f>361+984</f>
        <v>1345</v>
      </c>
      <c r="V11" s="21">
        <v>1445</v>
      </c>
      <c r="W11" s="13">
        <v>1242</v>
      </c>
      <c r="X11" s="13">
        <v>1027</v>
      </c>
      <c r="Y11" s="13">
        <v>1131</v>
      </c>
      <c r="Z11" s="13">
        <v>1175</v>
      </c>
      <c r="AA11" s="13">
        <v>1319</v>
      </c>
      <c r="AB11" s="13">
        <v>1374</v>
      </c>
      <c r="AC11" s="13">
        <v>1603</v>
      </c>
      <c r="AD11" s="13">
        <v>1725</v>
      </c>
      <c r="AE11" s="13">
        <v>1771</v>
      </c>
      <c r="AF11" s="13">
        <f>509+1464</f>
        <v>1973</v>
      </c>
      <c r="AG11" s="13">
        <f>561+1419</f>
        <v>1980</v>
      </c>
      <c r="AH11" s="13">
        <f>473+1505</f>
        <v>1978</v>
      </c>
      <c r="AI11" s="13">
        <f>530+1368</f>
        <v>1898</v>
      </c>
      <c r="AJ11" s="13">
        <f>526+1231</f>
        <v>1757</v>
      </c>
      <c r="AK11" s="13">
        <f>484+1190</f>
        <v>1674</v>
      </c>
      <c r="AL11" s="13">
        <f>518+1205</f>
        <v>1723</v>
      </c>
      <c r="AM11" s="13">
        <f>525+1191</f>
        <v>1716</v>
      </c>
      <c r="AN11" s="19">
        <f>546+1189</f>
        <v>1735</v>
      </c>
      <c r="AO11" s="19">
        <f>530+1222</f>
        <v>1752</v>
      </c>
      <c r="AP11" s="19">
        <v>1829</v>
      </c>
      <c r="AQ11" s="19">
        <f>1921-0</f>
        <v>1921</v>
      </c>
      <c r="AR11" s="13">
        <v>1968</v>
      </c>
      <c r="AS11" s="13">
        <f>1911-16-7</f>
        <v>1888</v>
      </c>
      <c r="AT11" s="13">
        <v>1605</v>
      </c>
      <c r="AU11" s="13">
        <v>1662</v>
      </c>
      <c r="AV11" s="21">
        <v>1677</v>
      </c>
    </row>
    <row r="12" spans="1:48" ht="12.75" customHeight="1">
      <c r="A12" s="3" t="s">
        <v>20</v>
      </c>
      <c r="B12" s="82">
        <v>0.38638899219040534</v>
      </c>
      <c r="C12" s="10">
        <v>0.244620986428335</v>
      </c>
      <c r="D12" s="10">
        <v>0.275526233113415</v>
      </c>
      <c r="E12" s="59">
        <v>0.3065099457504521</v>
      </c>
      <c r="F12" s="10">
        <v>0.324902137910268</v>
      </c>
      <c r="G12" s="10">
        <v>0.3346456692913386</v>
      </c>
      <c r="H12" s="10">
        <f t="shared" si="0"/>
        <v>0.32858990944372574</v>
      </c>
      <c r="I12" s="48">
        <f t="shared" si="1"/>
        <v>0.34096036094102483</v>
      </c>
      <c r="J12" s="48">
        <f t="shared" si="2"/>
        <v>0.3529770992366412</v>
      </c>
      <c r="K12" s="48">
        <f aca="true" t="shared" si="3" ref="K12:K23">+V12/AU12</f>
        <v>0.389937106918239</v>
      </c>
      <c r="L12" s="48">
        <v>0.353287841191067</v>
      </c>
      <c r="M12" s="97">
        <v>1039</v>
      </c>
      <c r="N12" s="21">
        <f>315+424</f>
        <v>739</v>
      </c>
      <c r="O12" s="21">
        <f>380+497</f>
        <v>877</v>
      </c>
      <c r="P12" s="65">
        <f>460+557</f>
        <v>1017</v>
      </c>
      <c r="Q12" s="21">
        <v>1079</v>
      </c>
      <c r="R12" s="21">
        <f>509+596</f>
        <v>1105</v>
      </c>
      <c r="S12" s="21">
        <f>444+572</f>
        <v>1016</v>
      </c>
      <c r="T12" s="21">
        <f>479+579</f>
        <v>1058</v>
      </c>
      <c r="U12" s="21">
        <f>514+642</f>
        <v>1156</v>
      </c>
      <c r="V12" s="21">
        <f>550+690</f>
        <v>1240</v>
      </c>
      <c r="W12" s="13">
        <v>2689</v>
      </c>
      <c r="X12" s="13">
        <v>2847</v>
      </c>
      <c r="Y12" s="13">
        <v>2894</v>
      </c>
      <c r="Z12" s="13">
        <v>2951</v>
      </c>
      <c r="AA12" s="13">
        <v>3321</v>
      </c>
      <c r="AB12" s="13">
        <v>2486</v>
      </c>
      <c r="AC12" s="13">
        <v>2478</v>
      </c>
      <c r="AD12" s="13">
        <f>1128+1615</f>
        <v>2743</v>
      </c>
      <c r="AE12" s="13">
        <f>1259+1790</f>
        <v>3049</v>
      </c>
      <c r="AF12" s="13">
        <v>3619</v>
      </c>
      <c r="AG12" s="13">
        <f>1653+2448</f>
        <v>4101</v>
      </c>
      <c r="AH12" s="13">
        <f>1642+2389</f>
        <v>4031</v>
      </c>
      <c r="AI12" s="13">
        <f>1443+2180</f>
        <v>3623</v>
      </c>
      <c r="AJ12" s="13">
        <f>(1436+2076)-31</f>
        <v>3481</v>
      </c>
      <c r="AK12" s="13">
        <f>(1429+2025)-(11+24)</f>
        <v>3419</v>
      </c>
      <c r="AL12" s="13">
        <f>2979-26</f>
        <v>2953</v>
      </c>
      <c r="AM12" s="13">
        <f>1166+1855</f>
        <v>3021</v>
      </c>
      <c r="AN12" s="19">
        <f>3214-31</f>
        <v>3183</v>
      </c>
      <c r="AO12" s="19">
        <f>3347-29</f>
        <v>3318</v>
      </c>
      <c r="AP12" s="19">
        <v>3321</v>
      </c>
      <c r="AQ12" s="19">
        <f>3332-21-9</f>
        <v>3302</v>
      </c>
      <c r="AR12" s="13">
        <v>3092</v>
      </c>
      <c r="AS12" s="13">
        <f>3128-16-9</f>
        <v>3103</v>
      </c>
      <c r="AT12" s="13">
        <v>3275</v>
      </c>
      <c r="AU12" s="13">
        <v>3180</v>
      </c>
      <c r="AV12" s="21">
        <v>1139</v>
      </c>
    </row>
    <row r="13" spans="1:48" ht="12.75" customHeight="1">
      <c r="A13" s="3" t="s">
        <v>21</v>
      </c>
      <c r="B13" s="82">
        <v>0.017321016166281754</v>
      </c>
      <c r="C13" s="10">
        <v>0.015679124886052873</v>
      </c>
      <c r="D13" s="10">
        <v>0.01838831800973499</v>
      </c>
      <c r="E13" s="59">
        <v>0.02530525570695452</v>
      </c>
      <c r="F13" s="10">
        <v>0.02212618841832325</v>
      </c>
      <c r="G13" s="10">
        <v>0.020172910662824207</v>
      </c>
      <c r="H13" s="10">
        <f t="shared" si="0"/>
        <v>0.021791767554479417</v>
      </c>
      <c r="I13" s="48">
        <f t="shared" si="1"/>
        <v>0.022181146025878003</v>
      </c>
      <c r="J13" s="48">
        <f t="shared" si="2"/>
        <v>0.02378234398782344</v>
      </c>
      <c r="K13" s="48">
        <f t="shared" si="3"/>
        <v>0.026493696327425542</v>
      </c>
      <c r="L13" s="48">
        <v>0.03153721391241665</v>
      </c>
      <c r="M13" s="97">
        <v>75</v>
      </c>
      <c r="N13" s="21">
        <f>55+31</f>
        <v>86</v>
      </c>
      <c r="O13" s="21">
        <f>66+36</f>
        <v>102</v>
      </c>
      <c r="P13" s="65">
        <f>92+51</f>
        <v>143</v>
      </c>
      <c r="Q13" s="21">
        <v>128</v>
      </c>
      <c r="R13" s="21">
        <f>72+47</f>
        <v>119</v>
      </c>
      <c r="S13" s="21">
        <f>50+76</f>
        <v>126</v>
      </c>
      <c r="T13" s="21">
        <f>67+53</f>
        <v>120</v>
      </c>
      <c r="U13" s="21">
        <f>71+54</f>
        <v>125</v>
      </c>
      <c r="V13" s="21">
        <f>82+63</f>
        <v>145</v>
      </c>
      <c r="W13" s="13">
        <v>4330</v>
      </c>
      <c r="X13" s="13">
        <v>4478</v>
      </c>
      <c r="Y13" s="13">
        <v>4354</v>
      </c>
      <c r="Z13" s="13">
        <v>4323</v>
      </c>
      <c r="AA13" s="13">
        <v>4529</v>
      </c>
      <c r="AB13" s="13">
        <v>4610</v>
      </c>
      <c r="AC13" s="13">
        <v>4926</v>
      </c>
      <c r="AD13" s="13">
        <v>5404</v>
      </c>
      <c r="AE13" s="13">
        <v>5901</v>
      </c>
      <c r="AF13" s="13">
        <f>2565+3451</f>
        <v>6016</v>
      </c>
      <c r="AG13" s="13">
        <f>2576+3435</f>
        <v>6011</v>
      </c>
      <c r="AH13" s="13">
        <f>2550+3339</f>
        <v>5889</v>
      </c>
      <c r="AI13" s="13">
        <f>2461+3205</f>
        <v>5666</v>
      </c>
      <c r="AJ13" s="13">
        <f>2362+2972</f>
        <v>5334</v>
      </c>
      <c r="AK13" s="13">
        <f>2441+3020</f>
        <v>5461</v>
      </c>
      <c r="AL13" s="13">
        <f>2314+2944</f>
        <v>5258</v>
      </c>
      <c r="AM13" s="13">
        <f>2394+3091</f>
        <v>5485</v>
      </c>
      <c r="AN13" s="19">
        <f>2323+3224</f>
        <v>5547</v>
      </c>
      <c r="AO13" s="19">
        <f>2449+3202</f>
        <v>5651</v>
      </c>
      <c r="AP13" s="19">
        <v>5785</v>
      </c>
      <c r="AQ13" s="19">
        <v>5899</v>
      </c>
      <c r="AR13" s="13">
        <v>5782</v>
      </c>
      <c r="AS13" s="13">
        <v>5410</v>
      </c>
      <c r="AT13" s="13">
        <v>5256</v>
      </c>
      <c r="AU13" s="13">
        <v>5473</v>
      </c>
      <c r="AV13" s="21">
        <v>175</v>
      </c>
    </row>
    <row r="14" spans="1:48" ht="12.75" customHeight="1">
      <c r="A14" s="3" t="s">
        <v>94</v>
      </c>
      <c r="B14" s="82">
        <v>0.007011393514460999</v>
      </c>
      <c r="C14" s="10">
        <v>0.02237457151760673</v>
      </c>
      <c r="D14" s="10">
        <v>0.020571077678845563</v>
      </c>
      <c r="E14" s="59">
        <v>0.02118522759805325</v>
      </c>
      <c r="F14" s="10">
        <v>0.02321899736147757</v>
      </c>
      <c r="G14" s="10">
        <v>0.02306378132118451</v>
      </c>
      <c r="H14" s="10">
        <f t="shared" si="0"/>
        <v>0.020995832888129073</v>
      </c>
      <c r="I14" s="48">
        <f t="shared" si="1"/>
        <v>0.04054865839006808</v>
      </c>
      <c r="J14" s="48">
        <f t="shared" si="2"/>
        <v>0.0227581877158104</v>
      </c>
      <c r="K14" s="48">
        <f t="shared" si="3"/>
        <v>0.02176669484361792</v>
      </c>
      <c r="L14" s="48">
        <v>0.023675720678530545</v>
      </c>
      <c r="M14" s="97">
        <v>104</v>
      </c>
      <c r="N14" s="21">
        <f>164+195</f>
        <v>359</v>
      </c>
      <c r="O14" s="21">
        <f>150+185</f>
        <v>335</v>
      </c>
      <c r="P14" s="65">
        <f>185+185</f>
        <v>370</v>
      </c>
      <c r="Q14" s="21">
        <v>396</v>
      </c>
      <c r="R14" s="21">
        <f>209+196</f>
        <v>405</v>
      </c>
      <c r="S14" s="21">
        <f>195+198</f>
        <v>393</v>
      </c>
      <c r="T14" s="21">
        <f>204+201</f>
        <v>405</v>
      </c>
      <c r="U14" s="21">
        <f>208+227</f>
        <v>435</v>
      </c>
      <c r="V14" s="21">
        <f>187+225</f>
        <v>412</v>
      </c>
      <c r="W14" s="13">
        <v>14833</v>
      </c>
      <c r="X14" s="13">
        <v>14473</v>
      </c>
      <c r="Y14" s="13">
        <v>14573</v>
      </c>
      <c r="Z14" s="13">
        <v>14552</v>
      </c>
      <c r="AA14" s="13">
        <v>14903</v>
      </c>
      <c r="AB14" s="13">
        <v>15233</v>
      </c>
      <c r="AC14" s="13">
        <v>16085</v>
      </c>
      <c r="AD14" s="13">
        <v>17006</v>
      </c>
      <c r="AE14" s="13">
        <v>18427</v>
      </c>
      <c r="AF14" s="13">
        <f>8857+10623</f>
        <v>19480</v>
      </c>
      <c r="AG14" s="13">
        <f>8889+10615</f>
        <v>19504</v>
      </c>
      <c r="AH14" s="13">
        <f>8685+10317</f>
        <v>19002</v>
      </c>
      <c r="AI14" s="13">
        <f>8266+9894</f>
        <v>18160</v>
      </c>
      <c r="AJ14" s="13">
        <f>(7851+9459)-(192+265)</f>
        <v>16853</v>
      </c>
      <c r="AK14" s="13">
        <f>(7268+9171)-(176+255)</f>
        <v>16008</v>
      </c>
      <c r="AL14" s="13">
        <f>(7107+9257)-(185+267)</f>
        <v>15912</v>
      </c>
      <c r="AM14" s="13">
        <f>(7156+9312)-(174+249)</f>
        <v>16045</v>
      </c>
      <c r="AN14" s="19">
        <f>16794-233-276</f>
        <v>16285</v>
      </c>
      <c r="AO14" s="19">
        <f>17388-265+342</f>
        <v>17465</v>
      </c>
      <c r="AP14" s="19">
        <v>17055</v>
      </c>
      <c r="AQ14" s="19">
        <f>18252-381-311</f>
        <v>17560</v>
      </c>
      <c r="AR14" s="13">
        <v>18718</v>
      </c>
      <c r="AS14" s="13">
        <f>10851-482-381</f>
        <v>9988</v>
      </c>
      <c r="AT14" s="13">
        <v>19114</v>
      </c>
      <c r="AU14" s="13">
        <v>18928</v>
      </c>
      <c r="AV14" s="21">
        <v>455</v>
      </c>
    </row>
    <row r="15" spans="1:48" ht="12.75" customHeight="1">
      <c r="A15" s="3" t="s">
        <v>22</v>
      </c>
      <c r="B15" s="82">
        <v>0.03310636299600845</v>
      </c>
      <c r="C15" s="10">
        <v>0.06811085089773615</v>
      </c>
      <c r="D15" s="10">
        <v>0.07526051717483596</v>
      </c>
      <c r="E15" s="59">
        <v>0.08415745588520458</v>
      </c>
      <c r="F15" s="10">
        <v>0.08626449204165848</v>
      </c>
      <c r="G15" s="10">
        <v>0.09016072128577028</v>
      </c>
      <c r="H15" s="10">
        <f t="shared" si="0"/>
        <v>0.10409851837598615</v>
      </c>
      <c r="I15" s="48">
        <f t="shared" si="1"/>
        <v>0.10836038961038962</v>
      </c>
      <c r="J15" s="48">
        <f t="shared" si="2"/>
        <v>0.10661401776900296</v>
      </c>
      <c r="K15" s="48">
        <f t="shared" si="3"/>
        <v>0.11051829268292683</v>
      </c>
      <c r="L15" s="48">
        <v>0.09514783927217589</v>
      </c>
      <c r="M15" s="97">
        <v>141</v>
      </c>
      <c r="N15" s="21">
        <f>167+182</f>
        <v>349</v>
      </c>
      <c r="O15" s="21">
        <f>175+215</f>
        <v>390</v>
      </c>
      <c r="P15" s="65">
        <f>189+245</f>
        <v>434</v>
      </c>
      <c r="Q15" s="21">
        <v>439</v>
      </c>
      <c r="R15" s="21">
        <f>208+252</f>
        <v>460</v>
      </c>
      <c r="S15" s="21">
        <f>237+304</f>
        <v>541</v>
      </c>
      <c r="T15" s="21">
        <f>266+268</f>
        <v>534</v>
      </c>
      <c r="U15" s="21">
        <f>272+268</f>
        <v>540</v>
      </c>
      <c r="V15" s="21">
        <f>293+287</f>
        <v>580</v>
      </c>
      <c r="W15" s="13">
        <v>4259</v>
      </c>
      <c r="X15" s="13">
        <v>4269</v>
      </c>
      <c r="Y15" s="13">
        <v>4227</v>
      </c>
      <c r="Z15" s="13">
        <v>4069</v>
      </c>
      <c r="AA15" s="13">
        <v>3992</v>
      </c>
      <c r="AB15" s="13">
        <v>3867</v>
      </c>
      <c r="AC15" s="13">
        <v>3904</v>
      </c>
      <c r="AD15" s="13">
        <v>4083</v>
      </c>
      <c r="AE15" s="13">
        <v>4255</v>
      </c>
      <c r="AF15" s="13">
        <f>1811+2744</f>
        <v>4555</v>
      </c>
      <c r="AG15" s="13">
        <f>1900+2936</f>
        <v>4836</v>
      </c>
      <c r="AH15" s="13">
        <f>1979+3056</f>
        <v>5035</v>
      </c>
      <c r="AI15" s="13">
        <f>2003+3058</f>
        <v>5061</v>
      </c>
      <c r="AJ15" s="13">
        <f>1984+3091</f>
        <v>5075</v>
      </c>
      <c r="AK15" s="13">
        <f>1986+3146</f>
        <v>5132</v>
      </c>
      <c r="AL15" s="13">
        <f>1937+3128</f>
        <v>5065</v>
      </c>
      <c r="AM15" s="13">
        <f>1942+3182</f>
        <v>5124</v>
      </c>
      <c r="AN15" s="19">
        <f>2029+3153</f>
        <v>5182</v>
      </c>
      <c r="AO15" s="19">
        <f>2012+3145</f>
        <v>5157</v>
      </c>
      <c r="AP15" s="19">
        <v>5089</v>
      </c>
      <c r="AQ15" s="19">
        <v>5102</v>
      </c>
      <c r="AR15" s="13">
        <v>5197</v>
      </c>
      <c r="AS15" s="13">
        <v>4928</v>
      </c>
      <c r="AT15" s="13">
        <v>5065</v>
      </c>
      <c r="AU15" s="13">
        <v>5248</v>
      </c>
      <c r="AV15" s="21">
        <v>502</v>
      </c>
    </row>
    <row r="16" spans="1:48" ht="12.75" customHeight="1">
      <c r="A16" s="3" t="s">
        <v>23</v>
      </c>
      <c r="B16" s="82">
        <v>0.0164</v>
      </c>
      <c r="C16" s="10">
        <v>0.020859872611464967</v>
      </c>
      <c r="D16" s="10">
        <v>0.019224658404829998</v>
      </c>
      <c r="E16" s="59">
        <v>0.02181987000928505</v>
      </c>
      <c r="F16" s="10">
        <v>0.022508537721204595</v>
      </c>
      <c r="G16" s="10">
        <v>0.02249056603773585</v>
      </c>
      <c r="H16" s="10">
        <f t="shared" si="0"/>
        <v>0.023487872275099787</v>
      </c>
      <c r="I16" s="48">
        <f t="shared" si="1"/>
        <v>0.022208700943109217</v>
      </c>
      <c r="J16" s="48">
        <f t="shared" si="2"/>
        <v>0.02359550561797753</v>
      </c>
      <c r="K16" s="48">
        <f t="shared" si="3"/>
        <v>0.03460809102402023</v>
      </c>
      <c r="L16" s="48">
        <v>0.03973085549503364</v>
      </c>
      <c r="M16" s="97">
        <v>82</v>
      </c>
      <c r="N16" s="21">
        <f>83+48</f>
        <v>131</v>
      </c>
      <c r="O16" s="21">
        <f>66+55</f>
        <v>121</v>
      </c>
      <c r="P16" s="65">
        <f>88+53</f>
        <v>141</v>
      </c>
      <c r="Q16" s="21">
        <v>145</v>
      </c>
      <c r="R16" s="21">
        <f>82+67</f>
        <v>149</v>
      </c>
      <c r="S16" s="21">
        <f>73+80</f>
        <v>153</v>
      </c>
      <c r="T16" s="21">
        <f>70+76</f>
        <v>146</v>
      </c>
      <c r="U16" s="21">
        <f>75+72</f>
        <v>147</v>
      </c>
      <c r="V16" s="21">
        <f>109+110</f>
        <v>219</v>
      </c>
      <c r="W16" s="13">
        <v>5000</v>
      </c>
      <c r="X16" s="13">
        <v>5103</v>
      </c>
      <c r="Y16" s="13">
        <v>5194</v>
      </c>
      <c r="Z16" s="13">
        <v>4974</v>
      </c>
      <c r="AA16" s="13">
        <v>4999</v>
      </c>
      <c r="AB16" s="13">
        <v>4876</v>
      </c>
      <c r="AC16" s="13">
        <v>5075</v>
      </c>
      <c r="AD16" s="13">
        <v>5307</v>
      </c>
      <c r="AE16" s="13">
        <v>5896</v>
      </c>
      <c r="AF16" s="13">
        <f>2628+3465</f>
        <v>6093</v>
      </c>
      <c r="AG16" s="13">
        <f>2658+3363</f>
        <v>6021</v>
      </c>
      <c r="AH16" s="13">
        <f>2580+3283</f>
        <v>5863</v>
      </c>
      <c r="AI16" s="13">
        <v>5802</v>
      </c>
      <c r="AJ16" s="13">
        <f>3435+2566</f>
        <v>6001</v>
      </c>
      <c r="AK16" s="13">
        <f>2581+3554</f>
        <v>6135</v>
      </c>
      <c r="AL16" s="13">
        <f>2548+3611</f>
        <v>6159</v>
      </c>
      <c r="AM16" s="13">
        <f>2636+3644</f>
        <v>6280</v>
      </c>
      <c r="AN16" s="19">
        <f>2567+3727</f>
        <v>6294</v>
      </c>
      <c r="AO16" s="19">
        <f>2598+3864</f>
        <v>6462</v>
      </c>
      <c r="AP16" s="19">
        <v>6442</v>
      </c>
      <c r="AQ16" s="19">
        <v>6625</v>
      </c>
      <c r="AR16" s="13">
        <v>6514</v>
      </c>
      <c r="AS16" s="13">
        <v>6574</v>
      </c>
      <c r="AT16" s="13">
        <v>6230</v>
      </c>
      <c r="AU16" s="13">
        <v>6328</v>
      </c>
      <c r="AV16" s="21">
        <v>248</v>
      </c>
    </row>
    <row r="17" spans="1:48" ht="12.75" customHeight="1">
      <c r="A17" s="3" t="s">
        <v>24</v>
      </c>
      <c r="B17" s="82">
        <v>0.041634710200504</v>
      </c>
      <c r="C17" s="10">
        <v>0.03984935001822379</v>
      </c>
      <c r="D17" s="10">
        <v>0.04760221515258631</v>
      </c>
      <c r="E17" s="59">
        <v>0.047162360374591</v>
      </c>
      <c r="F17" s="10">
        <v>0.053196244970943225</v>
      </c>
      <c r="G17" s="10">
        <v>0.05305947796320069</v>
      </c>
      <c r="H17" s="10">
        <f t="shared" si="0"/>
        <v>0.05926780656666317</v>
      </c>
      <c r="I17" s="48">
        <f t="shared" si="1"/>
        <v>0.06478578892371996</v>
      </c>
      <c r="J17" s="48">
        <f t="shared" si="2"/>
        <v>0.07093083723348934</v>
      </c>
      <c r="K17" s="48">
        <f t="shared" si="3"/>
        <v>0.0848561430793157</v>
      </c>
      <c r="L17" s="48">
        <v>0.07891716089535106</v>
      </c>
      <c r="M17" s="97">
        <v>380</v>
      </c>
      <c r="N17" s="21">
        <f>128+200</f>
        <v>328</v>
      </c>
      <c r="O17" s="21">
        <f>161+243</f>
        <v>404</v>
      </c>
      <c r="P17" s="65">
        <f>150+268</f>
        <v>418</v>
      </c>
      <c r="Q17" s="21">
        <v>476</v>
      </c>
      <c r="R17" s="21">
        <f>185+311</f>
        <v>496</v>
      </c>
      <c r="S17" s="21">
        <f>206+359</f>
        <v>565</v>
      </c>
      <c r="T17" s="21">
        <f>249+371</f>
        <v>620</v>
      </c>
      <c r="U17" s="21">
        <f>260+422</f>
        <v>682</v>
      </c>
      <c r="V17" s="21">
        <f>324+549</f>
        <v>873</v>
      </c>
      <c r="W17" s="13">
        <v>9127</v>
      </c>
      <c r="X17" s="13">
        <v>9097</v>
      </c>
      <c r="Y17" s="13">
        <v>9093</v>
      </c>
      <c r="Z17" s="13">
        <v>9189</v>
      </c>
      <c r="AA17" s="13">
        <v>9058</v>
      </c>
      <c r="AB17" s="13">
        <v>9144</v>
      </c>
      <c r="AC17" s="13">
        <v>8496</v>
      </c>
      <c r="AD17" s="13">
        <v>8778</v>
      </c>
      <c r="AE17" s="13">
        <v>8520</v>
      </c>
      <c r="AF17" s="13">
        <f>3644+5157</f>
        <v>8801</v>
      </c>
      <c r="AG17" s="13">
        <f>3681+5023</f>
        <v>8704</v>
      </c>
      <c r="AH17" s="13">
        <f>3628+4810</f>
        <v>8438</v>
      </c>
      <c r="AI17" s="13">
        <f>3369+4711</f>
        <v>8080</v>
      </c>
      <c r="AJ17" s="13">
        <f>4708+3213</f>
        <v>7921</v>
      </c>
      <c r="AK17" s="13">
        <f>3273+4839</f>
        <v>8112</v>
      </c>
      <c r="AL17" s="13">
        <f>3270+4947</f>
        <v>8217</v>
      </c>
      <c r="AM17" s="13">
        <f>3202+5029</f>
        <v>8231</v>
      </c>
      <c r="AN17" s="19">
        <f>3262+5225</f>
        <v>8487</v>
      </c>
      <c r="AO17" s="19">
        <f>3355+5508</f>
        <v>8863</v>
      </c>
      <c r="AP17" s="19">
        <v>8948</v>
      </c>
      <c r="AQ17" s="19">
        <v>9348</v>
      </c>
      <c r="AR17" s="13">
        <v>9533</v>
      </c>
      <c r="AS17" s="13">
        <v>9570</v>
      </c>
      <c r="AT17" s="13">
        <v>9615</v>
      </c>
      <c r="AU17" s="13">
        <v>10288</v>
      </c>
      <c r="AV17" s="21">
        <v>825</v>
      </c>
    </row>
    <row r="18" spans="1:48" ht="12.75" customHeight="1">
      <c r="A18" s="3" t="s">
        <v>25</v>
      </c>
      <c r="B18" s="82">
        <v>0.03582688449412439</v>
      </c>
      <c r="C18" s="10">
        <v>0.03648575058994373</v>
      </c>
      <c r="D18" s="10">
        <v>0.032861387869253626</v>
      </c>
      <c r="E18" s="59">
        <v>0.03270946300507259</v>
      </c>
      <c r="F18" s="10">
        <v>0.03535176758837942</v>
      </c>
      <c r="G18" s="10">
        <v>0.03388646288209607</v>
      </c>
      <c r="H18" s="10">
        <f t="shared" si="0"/>
        <v>0.034667559872718134</v>
      </c>
      <c r="I18" s="48">
        <f t="shared" si="1"/>
        <v>0.03769559032716927</v>
      </c>
      <c r="J18" s="48">
        <f t="shared" si="2"/>
        <v>0.034129119031607265</v>
      </c>
      <c r="K18" s="48">
        <f t="shared" si="3"/>
        <v>0.03723856486992008</v>
      </c>
      <c r="L18" s="48">
        <v>0.04209621993127148</v>
      </c>
      <c r="M18" s="97">
        <v>250</v>
      </c>
      <c r="N18" s="21">
        <f>74+127</f>
        <v>201</v>
      </c>
      <c r="O18" s="21">
        <f>69+119</f>
        <v>188</v>
      </c>
      <c r="P18" s="65">
        <f>77+110</f>
        <v>187</v>
      </c>
      <c r="Q18" s="21">
        <v>202</v>
      </c>
      <c r="R18" s="21">
        <f>73+121</f>
        <v>194</v>
      </c>
      <c r="S18" s="21">
        <f>83+124</f>
        <v>207</v>
      </c>
      <c r="T18" s="21">
        <f>126+86</f>
        <v>212</v>
      </c>
      <c r="U18" s="21">
        <f>81+122</f>
        <v>203</v>
      </c>
      <c r="V18" s="21">
        <f>91+128</f>
        <v>219</v>
      </c>
      <c r="W18" s="13">
        <v>6978</v>
      </c>
      <c r="X18" s="13">
        <v>7205</v>
      </c>
      <c r="Y18" s="13">
        <v>7252</v>
      </c>
      <c r="Z18" s="13">
        <v>7348</v>
      </c>
      <c r="AA18" s="13">
        <v>6866</v>
      </c>
      <c r="AB18" s="13">
        <v>7105</v>
      </c>
      <c r="AC18" s="13">
        <v>6388</v>
      </c>
      <c r="AD18" s="13">
        <v>6419</v>
      </c>
      <c r="AE18" s="13">
        <v>6414</v>
      </c>
      <c r="AF18" s="13">
        <f>2672+3479</f>
        <v>6151</v>
      </c>
      <c r="AG18" s="13">
        <f>2737+3522</f>
        <v>6259</v>
      </c>
      <c r="AH18" s="13">
        <f>2666+3583</f>
        <v>6249</v>
      </c>
      <c r="AI18" s="13">
        <f>2697+3674</f>
        <v>6371</v>
      </c>
      <c r="AJ18" s="13">
        <f>2743+3706</f>
        <v>6449</v>
      </c>
      <c r="AK18" s="13">
        <f>(2772+3778)-(403+632)</f>
        <v>5515</v>
      </c>
      <c r="AL18" s="13">
        <f>(2734+3768)-(450+724)</f>
        <v>5328</v>
      </c>
      <c r="AM18" s="13">
        <f>(2657+3764)-(370+542)</f>
        <v>5509</v>
      </c>
      <c r="AN18" s="19">
        <f>6439-303-415</f>
        <v>5721</v>
      </c>
      <c r="AO18" s="19">
        <f>6236-235-284</f>
        <v>5717</v>
      </c>
      <c r="AP18" s="19">
        <v>5714</v>
      </c>
      <c r="AQ18" s="19">
        <f>6005-173-107</f>
        <v>5725</v>
      </c>
      <c r="AR18" s="13">
        <v>5971</v>
      </c>
      <c r="AS18" s="13">
        <f>5833-70-139</f>
        <v>5624</v>
      </c>
      <c r="AT18" s="13">
        <v>5948</v>
      </c>
      <c r="AU18" s="13">
        <v>5881</v>
      </c>
      <c r="AV18" s="21">
        <v>245</v>
      </c>
    </row>
    <row r="19" spans="1:48" ht="12.75" customHeight="1">
      <c r="A19" s="3" t="s">
        <v>95</v>
      </c>
      <c r="B19" s="82">
        <v>0.06574289471022556</v>
      </c>
      <c r="C19" s="10">
        <v>0.06301582677929896</v>
      </c>
      <c r="D19" s="10">
        <v>0.058867431663401436</v>
      </c>
      <c r="E19" s="59">
        <v>0.05021308134148601</v>
      </c>
      <c r="F19" s="10">
        <v>0.04693799193703206</v>
      </c>
      <c r="G19" s="10">
        <v>0.0460727969348659</v>
      </c>
      <c r="H19" s="10">
        <f>+S19/AR19</f>
        <v>0.046931057888102395</v>
      </c>
      <c r="I19" s="48">
        <f>+T19/AS19</f>
        <v>0.05491567256273139</v>
      </c>
      <c r="J19" s="48">
        <f>+U19/AT19</f>
        <v>0.05491990846681922</v>
      </c>
      <c r="K19" s="48">
        <f>+V19/AU19</f>
        <v>0.06054319124858544</v>
      </c>
      <c r="L19" s="48">
        <v>0.062272430211931656</v>
      </c>
      <c r="M19" s="97">
        <v>650</v>
      </c>
      <c r="N19" s="21">
        <f>280+369</f>
        <v>649</v>
      </c>
      <c r="O19" s="21">
        <f>270+361</f>
        <v>631</v>
      </c>
      <c r="P19" s="65">
        <f>242+300</f>
        <v>542</v>
      </c>
      <c r="Q19" s="21">
        <v>489</v>
      </c>
      <c r="R19" s="21">
        <f>234+247</f>
        <v>481</v>
      </c>
      <c r="S19" s="21">
        <f>216+268</f>
        <v>484</v>
      </c>
      <c r="T19" s="21">
        <f>243+291</f>
        <v>534</v>
      </c>
      <c r="U19" s="21">
        <f>234+318</f>
        <v>552</v>
      </c>
      <c r="V19" s="21">
        <f>279+363</f>
        <v>642</v>
      </c>
      <c r="W19" s="13">
        <v>9887</v>
      </c>
      <c r="X19" s="13">
        <v>9526</v>
      </c>
      <c r="Y19" s="13">
        <v>9601</v>
      </c>
      <c r="Z19" s="13">
        <v>8979</v>
      </c>
      <c r="AA19" s="13">
        <v>8821</v>
      </c>
      <c r="AB19" s="13">
        <v>9032</v>
      </c>
      <c r="AC19" s="13">
        <v>9240</v>
      </c>
      <c r="AD19" s="13">
        <v>10104</v>
      </c>
      <c r="AE19" s="13">
        <v>10813</v>
      </c>
      <c r="AF19" s="13">
        <f>5459+5970</f>
        <v>11429</v>
      </c>
      <c r="AG19" s="13">
        <f>5552+6069</f>
        <v>11621</v>
      </c>
      <c r="AH19" s="13">
        <f>5562+6069</f>
        <v>11631</v>
      </c>
      <c r="AI19" s="13">
        <f>5332+5950</f>
        <v>11282</v>
      </c>
      <c r="AJ19" s="13">
        <f>10805-8</f>
        <v>10797</v>
      </c>
      <c r="AK19" s="13">
        <f>10951-7</f>
        <v>10944</v>
      </c>
      <c r="AL19" s="13">
        <f>(4930+5839)</f>
        <v>10769</v>
      </c>
      <c r="AM19" s="13">
        <f>10320-21</f>
        <v>10299</v>
      </c>
      <c r="AN19" s="19">
        <f>10763-16-28</f>
        <v>10719</v>
      </c>
      <c r="AO19" s="19">
        <f>10894-39-61</f>
        <v>10794</v>
      </c>
      <c r="AP19" s="19">
        <v>10418</v>
      </c>
      <c r="AQ19" s="19">
        <f>10822-193-189</f>
        <v>10440</v>
      </c>
      <c r="AR19" s="13">
        <v>10313</v>
      </c>
      <c r="AS19" s="13">
        <f>10351-354-273</f>
        <v>9724</v>
      </c>
      <c r="AT19" s="13">
        <v>10051</v>
      </c>
      <c r="AU19" s="13">
        <v>10604</v>
      </c>
      <c r="AV19" s="21">
        <v>667</v>
      </c>
    </row>
    <row r="20" spans="1:48" ht="12.75" customHeight="1">
      <c r="A20" s="3" t="s">
        <v>26</v>
      </c>
      <c r="B20" s="82">
        <v>0.03636218651568917</v>
      </c>
      <c r="C20" s="10">
        <v>0.0612494341330919</v>
      </c>
      <c r="D20" s="10">
        <v>0.06471938431072506</v>
      </c>
      <c r="E20" s="59">
        <v>0.05925328313388015</v>
      </c>
      <c r="F20" s="10">
        <v>0.05919072073667434</v>
      </c>
      <c r="G20" s="10">
        <v>0.05393955276030748</v>
      </c>
      <c r="H20" s="10">
        <f t="shared" si="0"/>
        <v>0.05171489817792069</v>
      </c>
      <c r="I20" s="48">
        <f t="shared" si="1"/>
        <v>0.0530547248223094</v>
      </c>
      <c r="J20" s="48">
        <f t="shared" si="2"/>
        <v>0.05129059734103618</v>
      </c>
      <c r="K20" s="48">
        <f t="shared" si="3"/>
        <v>0.05370569280343716</v>
      </c>
      <c r="L20" s="48">
        <v>0.05485381776894692</v>
      </c>
      <c r="M20" s="97">
        <v>912</v>
      </c>
      <c r="N20" s="21">
        <f>520+833</f>
        <v>1353</v>
      </c>
      <c r="O20" s="21">
        <f>539+899</f>
        <v>1438</v>
      </c>
      <c r="P20" s="65">
        <f>480+842</f>
        <v>1322</v>
      </c>
      <c r="Q20" s="21">
        <v>1337</v>
      </c>
      <c r="R20" s="21">
        <f>460+775</f>
        <v>1235</v>
      </c>
      <c r="S20" s="21">
        <v>1351</v>
      </c>
      <c r="T20" s="21">
        <f>540+826</f>
        <v>1366</v>
      </c>
      <c r="U20" s="21">
        <f>548+837</f>
        <v>1385</v>
      </c>
      <c r="V20" s="21">
        <f>612+888</f>
        <v>1500</v>
      </c>
      <c r="W20" s="13">
        <v>25081</v>
      </c>
      <c r="X20" s="13">
        <v>24763</v>
      </c>
      <c r="Y20" s="13">
        <v>24275</v>
      </c>
      <c r="Z20" s="13">
        <v>23585</v>
      </c>
      <c r="AA20" s="13">
        <v>23047</v>
      </c>
      <c r="AB20" s="13">
        <v>22727</v>
      </c>
      <c r="AC20" s="13">
        <v>22958</v>
      </c>
      <c r="AD20" s="13">
        <v>23568</v>
      </c>
      <c r="AE20" s="13">
        <v>24344</v>
      </c>
      <c r="AF20" s="13">
        <f>12690+12373</f>
        <v>25063</v>
      </c>
      <c r="AG20" s="13">
        <f>12424+12315</f>
        <v>24739</v>
      </c>
      <c r="AH20" s="13">
        <f>11725+11705</f>
        <v>23430</v>
      </c>
      <c r="AI20" s="13">
        <f>11214+11011</f>
        <v>22225</v>
      </c>
      <c r="AJ20" s="13">
        <f>(10879+11296)-(274+241)</f>
        <v>21660</v>
      </c>
      <c r="AK20" s="13">
        <f>(10836+11520)-(223+265)</f>
        <v>21868</v>
      </c>
      <c r="AL20" s="13">
        <f>(10807+11712)-(212+221)</f>
        <v>22086</v>
      </c>
      <c r="AM20" s="13">
        <f>(10882+11670)-(216+246)</f>
        <v>22090</v>
      </c>
      <c r="AN20" s="19">
        <f>22780-311-250</f>
        <v>22219</v>
      </c>
      <c r="AO20" s="19">
        <f>22930-344-275</f>
        <v>22311</v>
      </c>
      <c r="AP20" s="19">
        <v>22588</v>
      </c>
      <c r="AQ20" s="19">
        <f>23667-365-406</f>
        <v>22896</v>
      </c>
      <c r="AR20" s="13">
        <v>26124</v>
      </c>
      <c r="AS20" s="13">
        <f>26805-519-539</f>
        <v>25747</v>
      </c>
      <c r="AT20" s="13">
        <v>27003</v>
      </c>
      <c r="AU20" s="13">
        <v>27930</v>
      </c>
      <c r="AV20" s="21">
        <v>1546</v>
      </c>
    </row>
    <row r="21" spans="1:48" ht="12.75" customHeight="1">
      <c r="A21" s="3" t="s">
        <v>27</v>
      </c>
      <c r="B21" s="82">
        <v>0.06609463936793815</v>
      </c>
      <c r="C21" s="10">
        <v>0.09168704156479218</v>
      </c>
      <c r="D21" s="10">
        <v>0.09468937875751503</v>
      </c>
      <c r="E21" s="59">
        <v>0.060550119992615836</v>
      </c>
      <c r="F21" s="10">
        <v>0.10229058132804102</v>
      </c>
      <c r="G21" s="10">
        <v>0.1053828042542827</v>
      </c>
      <c r="H21" s="10">
        <f t="shared" si="0"/>
        <v>0.10359484187018227</v>
      </c>
      <c r="I21" s="48">
        <f t="shared" si="1"/>
        <v>0.10852947854385832</v>
      </c>
      <c r="J21" s="48">
        <f t="shared" si="2"/>
        <v>0.10704264870931537</v>
      </c>
      <c r="K21" s="48">
        <f t="shared" si="3"/>
        <v>0.10943396226415095</v>
      </c>
      <c r="L21" s="48">
        <v>0.10835150918173503</v>
      </c>
      <c r="M21" s="97">
        <v>778</v>
      </c>
      <c r="N21" s="21">
        <f>303+597</f>
        <v>900</v>
      </c>
      <c r="O21" s="21">
        <f>309+636</f>
        <v>945</v>
      </c>
      <c r="P21" s="65">
        <f>325+331</f>
        <v>656</v>
      </c>
      <c r="Q21" s="21">
        <v>1237</v>
      </c>
      <c r="R21" s="21">
        <f>400+898</f>
        <v>1298</v>
      </c>
      <c r="S21" s="21">
        <v>1438</v>
      </c>
      <c r="T21" s="21">
        <f>408+1026</f>
        <v>1434</v>
      </c>
      <c r="U21" s="21">
        <f>439+1087</f>
        <v>1526</v>
      </c>
      <c r="V21" s="21">
        <f>467+1099</f>
        <v>1566</v>
      </c>
      <c r="W21" s="13">
        <v>11771</v>
      </c>
      <c r="X21" s="13">
        <v>11419</v>
      </c>
      <c r="Y21" s="13">
        <v>11496</v>
      </c>
      <c r="Z21" s="13">
        <v>11464</v>
      </c>
      <c r="AA21" s="13">
        <v>11629</v>
      </c>
      <c r="AB21" s="13">
        <v>11583</v>
      </c>
      <c r="AC21" s="13">
        <v>11680</v>
      </c>
      <c r="AD21" s="13">
        <v>11628</v>
      </c>
      <c r="AE21" s="13">
        <v>11430</v>
      </c>
      <c r="AF21" s="13">
        <f>4865+6406</f>
        <v>11271</v>
      </c>
      <c r="AG21" s="13">
        <f>4889+6270</f>
        <v>11159</v>
      </c>
      <c r="AH21" s="13">
        <f>4629+5860</f>
        <v>10489</v>
      </c>
      <c r="AI21" s="13">
        <f>4446+5412</f>
        <v>9858</v>
      </c>
      <c r="AJ21" s="13">
        <f>(4469+5493)-(294+346)</f>
        <v>9322</v>
      </c>
      <c r="AK21" s="13">
        <f>(4510+5699)-(279+378)</f>
        <v>9552</v>
      </c>
      <c r="AL21" s="13">
        <f>(5806+4492)-(279+350)</f>
        <v>9669</v>
      </c>
      <c r="AM21" s="13">
        <f>(4517+5927)-(286+342)</f>
        <v>9816</v>
      </c>
      <c r="AN21" s="19">
        <f>10610-283-347</f>
        <v>9980</v>
      </c>
      <c r="AO21" s="19">
        <f>11518-303-381</f>
        <v>10834</v>
      </c>
      <c r="AP21" s="19">
        <v>12093</v>
      </c>
      <c r="AQ21" s="19">
        <f>12969-319-333</f>
        <v>12317</v>
      </c>
      <c r="AR21" s="13">
        <v>13881</v>
      </c>
      <c r="AS21" s="13">
        <f>14226-535-478</f>
        <v>13213</v>
      </c>
      <c r="AT21" s="13">
        <v>14256</v>
      </c>
      <c r="AU21" s="13">
        <v>14310</v>
      </c>
      <c r="AV21" s="21">
        <v>1540</v>
      </c>
    </row>
    <row r="22" spans="1:48" ht="12.75" customHeight="1">
      <c r="A22" s="3" t="s">
        <v>28</v>
      </c>
      <c r="B22" s="82">
        <v>0.03122106098690303</v>
      </c>
      <c r="C22" s="10">
        <v>0.030233527939949958</v>
      </c>
      <c r="D22" s="10">
        <v>0.032503165892781766</v>
      </c>
      <c r="E22" s="59">
        <v>0.03739551253849538</v>
      </c>
      <c r="F22" s="10">
        <v>0.03771043771043771</v>
      </c>
      <c r="G22" s="10">
        <v>0.04187925170068027</v>
      </c>
      <c r="H22" s="10">
        <f t="shared" si="0"/>
        <v>0.040648854961832064</v>
      </c>
      <c r="I22" s="48">
        <f t="shared" si="1"/>
        <v>0.044179792547061086</v>
      </c>
      <c r="J22" s="48">
        <f t="shared" si="2"/>
        <v>0.04034048852701702</v>
      </c>
      <c r="K22" s="48">
        <f t="shared" si="3"/>
        <v>0.04232142857142857</v>
      </c>
      <c r="L22" s="48">
        <v>0.04182314783202458</v>
      </c>
      <c r="M22" s="97">
        <v>236</v>
      </c>
      <c r="N22" s="21">
        <f>97+48</f>
        <v>145</v>
      </c>
      <c r="O22" s="21">
        <f>104+50</f>
        <v>154</v>
      </c>
      <c r="P22" s="65">
        <f>120+50</f>
        <v>170</v>
      </c>
      <c r="Q22" s="21">
        <v>168</v>
      </c>
      <c r="R22" s="21">
        <f>55+142</f>
        <v>197</v>
      </c>
      <c r="S22" s="21">
        <f>152+61</f>
        <v>213</v>
      </c>
      <c r="T22" s="21">
        <f>165+65</f>
        <v>230</v>
      </c>
      <c r="U22" s="21">
        <f>158+60</f>
        <v>218</v>
      </c>
      <c r="V22" s="21">
        <f>173+64</f>
        <v>237</v>
      </c>
      <c r="W22" s="13">
        <v>7559</v>
      </c>
      <c r="X22" s="13">
        <v>7795</v>
      </c>
      <c r="Y22" s="13">
        <v>7566</v>
      </c>
      <c r="Z22" s="13">
        <v>6967</v>
      </c>
      <c r="AA22" s="13">
        <v>6444</v>
      </c>
      <c r="AB22" s="13">
        <v>6318</v>
      </c>
      <c r="AC22" s="13">
        <v>5916</v>
      </c>
      <c r="AD22" s="13">
        <v>5724</v>
      </c>
      <c r="AE22" s="13">
        <v>5576</v>
      </c>
      <c r="AF22" s="13">
        <f>4263+1180</f>
        <v>5443</v>
      </c>
      <c r="AG22" s="13">
        <f>4390+1192</f>
        <v>5582</v>
      </c>
      <c r="AH22" s="13">
        <f>4424+1233</f>
        <v>5657</v>
      </c>
      <c r="AI22" s="13">
        <f>4404+1277</f>
        <v>5681</v>
      </c>
      <c r="AJ22" s="13">
        <f>(4227+1245)-(182+55)</f>
        <v>5235</v>
      </c>
      <c r="AK22" s="13">
        <f>5426-263</f>
        <v>5163</v>
      </c>
      <c r="AL22" s="13">
        <f>(4032+1232)-(163+51)</f>
        <v>5050</v>
      </c>
      <c r="AM22" s="13">
        <f>(3791+1185)-(144+36)</f>
        <v>4796</v>
      </c>
      <c r="AN22" s="19">
        <f>4918-148-32</f>
        <v>4738</v>
      </c>
      <c r="AO22" s="19">
        <f>4715-136-33</f>
        <v>4546</v>
      </c>
      <c r="AP22" s="19">
        <v>4455</v>
      </c>
      <c r="AQ22" s="19">
        <f>4883-40-139</f>
        <v>4704</v>
      </c>
      <c r="AR22" s="13">
        <v>5240</v>
      </c>
      <c r="AS22" s="13">
        <f>5459-72-181</f>
        <v>5206</v>
      </c>
      <c r="AT22" s="13">
        <v>5404</v>
      </c>
      <c r="AU22" s="13">
        <v>5600</v>
      </c>
      <c r="AV22" s="21">
        <v>245</v>
      </c>
    </row>
    <row r="23" spans="1:48" ht="12.75" customHeight="1">
      <c r="A23" s="3" t="s">
        <v>29</v>
      </c>
      <c r="B23" s="82">
        <v>0.10419693301049233</v>
      </c>
      <c r="C23" s="10">
        <v>0.12157852777039596</v>
      </c>
      <c r="D23" s="10">
        <v>0.12323851774530271</v>
      </c>
      <c r="E23" s="59">
        <v>0.11842193246405884</v>
      </c>
      <c r="F23" s="10">
        <v>0.12046543463381246</v>
      </c>
      <c r="G23" s="10">
        <v>0.11809967527883665</v>
      </c>
      <c r="H23" s="10">
        <f t="shared" si="0"/>
        <v>0.11815046621535318</v>
      </c>
      <c r="I23" s="48">
        <f t="shared" si="1"/>
        <v>0.11728395061728394</v>
      </c>
      <c r="J23" s="48">
        <f t="shared" si="2"/>
        <v>0.12220931733126855</v>
      </c>
      <c r="K23" s="48">
        <f t="shared" si="3"/>
        <v>0.13165680473372782</v>
      </c>
      <c r="L23" s="48">
        <v>0.13118238021638332</v>
      </c>
      <c r="M23" s="97">
        <v>1291</v>
      </c>
      <c r="N23" s="21">
        <f>505+1325</f>
        <v>1830</v>
      </c>
      <c r="O23" s="21">
        <f>499+1390</f>
        <v>1889</v>
      </c>
      <c r="P23" s="65">
        <f>477+1294</f>
        <v>1771</v>
      </c>
      <c r="Q23" s="21">
        <v>1760</v>
      </c>
      <c r="R23" s="21">
        <f>431+1242</f>
        <v>1673</v>
      </c>
      <c r="S23" s="21">
        <f>472+1378</f>
        <v>1850</v>
      </c>
      <c r="T23" s="21">
        <f>441+1288</f>
        <v>1729</v>
      </c>
      <c r="U23" s="21">
        <f>474+1420</f>
        <v>1894</v>
      </c>
      <c r="V23" s="21">
        <f>511+1536</f>
        <v>2047</v>
      </c>
      <c r="W23" s="13">
        <v>12390</v>
      </c>
      <c r="X23" s="13">
        <v>12035</v>
      </c>
      <c r="Y23" s="13">
        <v>11816</v>
      </c>
      <c r="Z23" s="13">
        <v>11596</v>
      </c>
      <c r="AA23" s="13">
        <v>11444</v>
      </c>
      <c r="AB23" s="13">
        <v>12328</v>
      </c>
      <c r="AC23" s="13">
        <v>13162</v>
      </c>
      <c r="AD23" s="13">
        <v>13932</v>
      </c>
      <c r="AE23" s="13">
        <v>14635</v>
      </c>
      <c r="AF23" s="13">
        <f>6369+9028</f>
        <v>15397</v>
      </c>
      <c r="AG23" s="13">
        <f>6406+9214</f>
        <v>15620</v>
      </c>
      <c r="AH23" s="13">
        <f>6184+8742</f>
        <v>14926</v>
      </c>
      <c r="AI23" s="13">
        <f>6355+9056</f>
        <v>15411</v>
      </c>
      <c r="AJ23" s="13">
        <f>(6006+9582)-(241+651)</f>
        <v>14696</v>
      </c>
      <c r="AK23" s="13">
        <f>(5999+9973)-(230+528)</f>
        <v>15214</v>
      </c>
      <c r="AL23" s="13">
        <f>(5963+10131)-(197+412)</f>
        <v>15485</v>
      </c>
      <c r="AM23" s="13">
        <f>(5815+9760)-(193+330)</f>
        <v>15052</v>
      </c>
      <c r="AN23" s="19">
        <f>15880-221-331</f>
        <v>15328</v>
      </c>
      <c r="AO23" s="19">
        <f>15594-287-352</f>
        <v>14955</v>
      </c>
      <c r="AP23" s="19">
        <v>14610</v>
      </c>
      <c r="AQ23" s="19">
        <f>14993-448-379</f>
        <v>14166</v>
      </c>
      <c r="AR23" s="13">
        <v>15658</v>
      </c>
      <c r="AS23" s="13">
        <f>15599-485-372</f>
        <v>14742</v>
      </c>
      <c r="AT23" s="13">
        <v>15498</v>
      </c>
      <c r="AU23" s="13">
        <v>15548</v>
      </c>
      <c r="AV23" s="21">
        <v>2037</v>
      </c>
    </row>
    <row r="24" spans="1:48" ht="12.75" customHeight="1">
      <c r="A24" s="3" t="s">
        <v>30</v>
      </c>
      <c r="B24" s="82">
        <v>0.0601062998280444</v>
      </c>
      <c r="C24" s="10">
        <v>0.07347704998942396</v>
      </c>
      <c r="D24" s="10">
        <v>0.0756467795317888</v>
      </c>
      <c r="E24" s="59">
        <v>0.07201357946106514</v>
      </c>
      <c r="F24" s="10">
        <v>0.07828673308153143</v>
      </c>
      <c r="G24" s="10">
        <v>0.07784675638515062</v>
      </c>
      <c r="H24" s="10">
        <f>+S24/AR24</f>
        <v>0.0774273191083748</v>
      </c>
      <c r="I24" s="48">
        <f>+T24/AS24</f>
        <v>0.08640908423135754</v>
      </c>
      <c r="J24" s="48">
        <f aca="true" t="shared" si="4" ref="J24:J51">+U24/AT24</f>
        <v>0.07955112219451371</v>
      </c>
      <c r="K24" s="48">
        <f>+V24/AU24</f>
        <v>0.08493663154680103</v>
      </c>
      <c r="L24" s="48">
        <v>0.08551969427522797</v>
      </c>
      <c r="M24" s="97">
        <f aca="true" t="shared" si="5" ref="M24:V24">SUM(M11:M23)</f>
        <v>6921</v>
      </c>
      <c r="N24" s="11">
        <f t="shared" si="5"/>
        <v>8337</v>
      </c>
      <c r="O24" s="11">
        <f t="shared" si="5"/>
        <v>8731</v>
      </c>
      <c r="P24" s="66">
        <f t="shared" si="5"/>
        <v>8485</v>
      </c>
      <c r="Q24" s="11">
        <f t="shared" si="5"/>
        <v>9265</v>
      </c>
      <c r="R24" s="11">
        <f t="shared" si="5"/>
        <v>9342</v>
      </c>
      <c r="S24" s="11">
        <f t="shared" si="5"/>
        <v>9910</v>
      </c>
      <c r="T24" s="11">
        <f t="shared" si="5"/>
        <v>9999</v>
      </c>
      <c r="U24" s="11">
        <f t="shared" si="5"/>
        <v>10208</v>
      </c>
      <c r="V24" s="11">
        <f t="shared" si="5"/>
        <v>11125</v>
      </c>
      <c r="W24" s="11">
        <f aca="true" t="shared" si="6" ref="W24:AV24">SUM(W11:W23)</f>
        <v>115146</v>
      </c>
      <c r="X24" s="11">
        <f t="shared" si="6"/>
        <v>114037</v>
      </c>
      <c r="Y24" s="11">
        <f t="shared" si="6"/>
        <v>113472</v>
      </c>
      <c r="Z24" s="11">
        <f t="shared" si="6"/>
        <v>111172</v>
      </c>
      <c r="AA24" s="11">
        <f t="shared" si="6"/>
        <v>110372</v>
      </c>
      <c r="AB24" s="11">
        <f t="shared" si="6"/>
        <v>110683</v>
      </c>
      <c r="AC24" s="11">
        <f t="shared" si="6"/>
        <v>111911</v>
      </c>
      <c r="AD24" s="11">
        <f t="shared" si="6"/>
        <v>116421</v>
      </c>
      <c r="AE24" s="11">
        <f t="shared" si="6"/>
        <v>121031</v>
      </c>
      <c r="AF24" s="11">
        <f t="shared" si="6"/>
        <v>125291</v>
      </c>
      <c r="AG24" s="11">
        <f t="shared" si="6"/>
        <v>126137</v>
      </c>
      <c r="AH24" s="11">
        <f t="shared" si="6"/>
        <v>122618</v>
      </c>
      <c r="AI24" s="11">
        <f t="shared" si="6"/>
        <v>119118</v>
      </c>
      <c r="AJ24" s="11">
        <f t="shared" si="6"/>
        <v>114581</v>
      </c>
      <c r="AK24" s="11">
        <f t="shared" si="6"/>
        <v>114197</v>
      </c>
      <c r="AL24" s="11">
        <f t="shared" si="6"/>
        <v>113674</v>
      </c>
      <c r="AM24" s="11">
        <f t="shared" si="6"/>
        <v>113464</v>
      </c>
      <c r="AN24" s="11">
        <f t="shared" si="6"/>
        <v>115418</v>
      </c>
      <c r="AO24" s="11">
        <f t="shared" si="6"/>
        <v>117825</v>
      </c>
      <c r="AP24" s="11">
        <f t="shared" si="6"/>
        <v>118347</v>
      </c>
      <c r="AQ24" s="11">
        <f t="shared" si="6"/>
        <v>120005</v>
      </c>
      <c r="AR24" s="11">
        <f t="shared" si="6"/>
        <v>127991</v>
      </c>
      <c r="AS24" s="11">
        <f t="shared" si="6"/>
        <v>115717</v>
      </c>
      <c r="AT24" s="11">
        <f t="shared" si="6"/>
        <v>128320</v>
      </c>
      <c r="AU24" s="11">
        <f t="shared" si="6"/>
        <v>130980</v>
      </c>
      <c r="AV24" s="11">
        <f t="shared" si="6"/>
        <v>11301</v>
      </c>
    </row>
    <row r="25" spans="2:22" ht="12.75" customHeight="1">
      <c r="B25" s="81"/>
      <c r="C25" s="10"/>
      <c r="D25" s="10"/>
      <c r="E25" s="59"/>
      <c r="F25" s="10"/>
      <c r="G25" s="10"/>
      <c r="H25" s="10"/>
      <c r="I25" s="48"/>
      <c r="J25" s="48"/>
      <c r="K25" s="48"/>
      <c r="L25" s="48"/>
      <c r="M25" s="96"/>
      <c r="N25" s="21"/>
      <c r="O25" s="21"/>
      <c r="P25" s="65"/>
      <c r="Q25" s="21"/>
      <c r="R25" s="21"/>
      <c r="S25" s="21"/>
      <c r="T25" s="21"/>
      <c r="U25" s="21"/>
      <c r="V25" s="21"/>
    </row>
    <row r="26" spans="1:22" ht="33.75" customHeight="1">
      <c r="A26" s="12" t="s">
        <v>31</v>
      </c>
      <c r="B26" s="81"/>
      <c r="C26" s="10"/>
      <c r="D26" s="10"/>
      <c r="E26" s="59"/>
      <c r="F26" s="10"/>
      <c r="G26" s="10"/>
      <c r="H26" s="10"/>
      <c r="I26" s="48"/>
      <c r="J26" s="48"/>
      <c r="K26" s="48"/>
      <c r="L26" s="48"/>
      <c r="M26" s="96"/>
      <c r="N26" s="21"/>
      <c r="O26" s="21"/>
      <c r="P26" s="65"/>
      <c r="Q26" s="21"/>
      <c r="R26" s="21"/>
      <c r="S26" s="21"/>
      <c r="T26" s="21"/>
      <c r="U26" s="21"/>
      <c r="V26" s="21"/>
    </row>
    <row r="27" spans="1:22" ht="12.75" customHeight="1">
      <c r="A27" s="12"/>
      <c r="B27" s="81"/>
      <c r="C27" s="10"/>
      <c r="D27" s="10"/>
      <c r="E27" s="59"/>
      <c r="F27" s="10"/>
      <c r="G27" s="10"/>
      <c r="H27" s="10"/>
      <c r="I27" s="48"/>
      <c r="J27" s="48"/>
      <c r="K27" s="48"/>
      <c r="L27" s="48"/>
      <c r="M27" s="96"/>
      <c r="N27" s="21"/>
      <c r="O27" s="21"/>
      <c r="P27" s="65"/>
      <c r="Q27" s="21"/>
      <c r="R27" s="21"/>
      <c r="S27" s="21"/>
      <c r="T27" s="21"/>
      <c r="U27" s="21"/>
      <c r="V27" s="21"/>
    </row>
    <row r="28" spans="1:48" ht="12.75" customHeight="1">
      <c r="A28" s="3" t="s">
        <v>32</v>
      </c>
      <c r="B28" s="82">
        <v>0.01048951048951049</v>
      </c>
      <c r="C28" s="10">
        <v>0.0075449796865931515</v>
      </c>
      <c r="D28" s="10">
        <v>0.004055619930475087</v>
      </c>
      <c r="E28" s="59">
        <v>0.009819967266775777</v>
      </c>
      <c r="F28" s="10">
        <v>0.007033997655334115</v>
      </c>
      <c r="G28" s="10">
        <v>0.006015037593984963</v>
      </c>
      <c r="H28" s="10">
        <f aca="true" t="shared" si="7" ref="H28:H51">+S28/AR28</f>
        <v>0.007252559726962458</v>
      </c>
      <c r="I28" s="48">
        <f aca="true" t="shared" si="8" ref="I28:I51">+T28/AS28</f>
        <v>0.012558869701726845</v>
      </c>
      <c r="J28" s="48">
        <f t="shared" si="4"/>
        <v>0.011106855610877058</v>
      </c>
      <c r="K28" s="48">
        <f>+V28/AU28</f>
        <v>0.0076481835564053535</v>
      </c>
      <c r="L28" s="48">
        <v>0.012969283276450512</v>
      </c>
      <c r="M28" s="97">
        <v>12</v>
      </c>
      <c r="N28" s="21">
        <v>13</v>
      </c>
      <c r="O28" s="21">
        <v>7</v>
      </c>
      <c r="P28" s="65">
        <v>18</v>
      </c>
      <c r="Q28" s="21">
        <v>12</v>
      </c>
      <c r="R28" s="21">
        <f>5+7</f>
        <v>12</v>
      </c>
      <c r="S28" s="21">
        <v>17</v>
      </c>
      <c r="T28" s="21">
        <f>13+19</f>
        <v>32</v>
      </c>
      <c r="U28" s="21">
        <f>14+15</f>
        <v>29</v>
      </c>
      <c r="V28" s="21">
        <v>20</v>
      </c>
      <c r="W28" s="13">
        <v>1144</v>
      </c>
      <c r="X28" s="13">
        <v>1267</v>
      </c>
      <c r="Y28" s="13">
        <v>1423</v>
      </c>
      <c r="Z28" s="13">
        <v>1179</v>
      </c>
      <c r="AA28" s="13">
        <v>1281</v>
      </c>
      <c r="AB28" s="13">
        <v>1351</v>
      </c>
      <c r="AC28" s="13">
        <v>1373</v>
      </c>
      <c r="AD28" s="13">
        <v>1487</v>
      </c>
      <c r="AE28" s="13">
        <v>1531</v>
      </c>
      <c r="AF28" s="13">
        <f>726+882</f>
        <v>1608</v>
      </c>
      <c r="AG28" s="13">
        <f>718+915</f>
        <v>1633</v>
      </c>
      <c r="AH28" s="13">
        <f>776+1008</f>
        <v>1784</v>
      </c>
      <c r="AI28" s="13">
        <f>730+1011</f>
        <v>1741</v>
      </c>
      <c r="AJ28" s="13">
        <f>1702-22</f>
        <v>1680</v>
      </c>
      <c r="AK28" s="13">
        <f>1698-27</f>
        <v>1671</v>
      </c>
      <c r="AL28" s="13">
        <v>1756</v>
      </c>
      <c r="AM28" s="13">
        <f>1738-15</f>
        <v>1723</v>
      </c>
      <c r="AN28" s="19">
        <f>1750-24</f>
        <v>1726</v>
      </c>
      <c r="AO28" s="19">
        <f>1856-23</f>
        <v>1833</v>
      </c>
      <c r="AP28" s="19">
        <v>1706</v>
      </c>
      <c r="AQ28" s="19">
        <f>2012-9-8</f>
        <v>1995</v>
      </c>
      <c r="AR28" s="13">
        <v>2344</v>
      </c>
      <c r="AS28" s="13">
        <f>2616-32-36</f>
        <v>2548</v>
      </c>
      <c r="AT28" s="13">
        <v>2611</v>
      </c>
      <c r="AU28" s="13">
        <v>2615</v>
      </c>
      <c r="AV28" s="106">
        <v>38</v>
      </c>
    </row>
    <row r="29" spans="1:48" ht="12.75" customHeight="1">
      <c r="A29" s="3" t="s">
        <v>33</v>
      </c>
      <c r="B29" s="82">
        <v>0.010294117647058823</v>
      </c>
      <c r="C29" s="10">
        <v>0.006792219820932387</v>
      </c>
      <c r="D29" s="10">
        <v>0.005573770491803279</v>
      </c>
      <c r="E29" s="59">
        <v>0.00747896540978498</v>
      </c>
      <c r="F29" s="10">
        <v>0.008463949843260187</v>
      </c>
      <c r="G29" s="10">
        <v>0.00924321201617562</v>
      </c>
      <c r="H29" s="10">
        <f t="shared" si="7"/>
        <v>0.005421686746987952</v>
      </c>
      <c r="I29" s="48">
        <f t="shared" si="8"/>
        <v>0.006315124723713293</v>
      </c>
      <c r="J29" s="48">
        <f t="shared" si="4"/>
        <v>0.005394066526820497</v>
      </c>
      <c r="K29" s="48">
        <f aca="true" t="shared" si="9" ref="K29:K51">+V29/AU29</f>
        <v>0.006024096385542169</v>
      </c>
      <c r="L29" s="48">
        <v>0.007484168105929764</v>
      </c>
      <c r="M29" s="97">
        <v>21</v>
      </c>
      <c r="N29" s="21">
        <v>22</v>
      </c>
      <c r="O29" s="21">
        <v>17</v>
      </c>
      <c r="P29" s="65">
        <f>13+11</f>
        <v>24</v>
      </c>
      <c r="Q29" s="21">
        <v>27</v>
      </c>
      <c r="R29" s="21">
        <f>19+13</f>
        <v>32</v>
      </c>
      <c r="S29" s="21">
        <v>18</v>
      </c>
      <c r="T29" s="21">
        <v>20</v>
      </c>
      <c r="U29" s="21">
        <v>18</v>
      </c>
      <c r="V29" s="21">
        <f>15+6</f>
        <v>21</v>
      </c>
      <c r="W29" s="13">
        <v>2040</v>
      </c>
      <c r="X29" s="13">
        <v>2233</v>
      </c>
      <c r="Y29" s="13">
        <v>2189</v>
      </c>
      <c r="Z29" s="13">
        <v>2355</v>
      </c>
      <c r="AA29" s="13">
        <v>2478</v>
      </c>
      <c r="AB29" s="13">
        <v>2973</v>
      </c>
      <c r="AC29" s="13">
        <v>2775</v>
      </c>
      <c r="AD29" s="13">
        <v>2509</v>
      </c>
      <c r="AE29" s="13">
        <v>2714</v>
      </c>
      <c r="AF29" s="13">
        <f>1111+1804</f>
        <v>2915</v>
      </c>
      <c r="AG29" s="13">
        <f>1220+1866</f>
        <v>3086</v>
      </c>
      <c r="AH29" s="13">
        <f>1224+1992</f>
        <v>3216</v>
      </c>
      <c r="AI29" s="13">
        <f>1173+1835</f>
        <v>3008</v>
      </c>
      <c r="AJ29" s="13">
        <f>1818+1153</f>
        <v>2971</v>
      </c>
      <c r="AK29" s="13">
        <f>1095+1724</f>
        <v>2819</v>
      </c>
      <c r="AL29" s="13">
        <f>1209+1840</f>
        <v>3049</v>
      </c>
      <c r="AM29" s="19">
        <f>1365+1874</f>
        <v>3239</v>
      </c>
      <c r="AN29" s="19">
        <f>1332+1718</f>
        <v>3050</v>
      </c>
      <c r="AO29" s="19">
        <f>1303+1906</f>
        <v>3209</v>
      </c>
      <c r="AP29" s="19">
        <v>3190</v>
      </c>
      <c r="AQ29" s="19">
        <v>3462</v>
      </c>
      <c r="AR29" s="13">
        <v>3320</v>
      </c>
      <c r="AS29" s="13">
        <f>3269-76-26</f>
        <v>3167</v>
      </c>
      <c r="AT29" s="13">
        <v>3337</v>
      </c>
      <c r="AU29" s="13">
        <v>3486</v>
      </c>
      <c r="AV29" s="106">
        <v>26</v>
      </c>
    </row>
    <row r="30" spans="1:48" ht="12.75" customHeight="1">
      <c r="A30" s="3" t="s">
        <v>34</v>
      </c>
      <c r="B30" s="83">
        <v>0.009456264775413711</v>
      </c>
      <c r="C30" s="38">
        <v>0.008831693161746153</v>
      </c>
      <c r="D30" s="38">
        <v>0.007113218731475993</v>
      </c>
      <c r="E30" s="60">
        <v>0.00801068090787717</v>
      </c>
      <c r="F30" s="38">
        <v>0.009951586874663798</v>
      </c>
      <c r="G30" s="10">
        <v>0.006636580833554553</v>
      </c>
      <c r="H30" s="10">
        <f t="shared" si="7"/>
        <v>0.009776886437703684</v>
      </c>
      <c r="I30" s="48">
        <f t="shared" si="8"/>
        <v>0.01680672268907563</v>
      </c>
      <c r="J30" s="48">
        <f t="shared" si="4"/>
        <v>0.011363636363636364</v>
      </c>
      <c r="K30" s="48">
        <f t="shared" si="9"/>
        <v>0.013088404133180253</v>
      </c>
      <c r="L30" s="48">
        <v>0.014031180400890868</v>
      </c>
      <c r="M30" s="98">
        <v>24</v>
      </c>
      <c r="N30" s="35">
        <f>18+17</f>
        <v>35</v>
      </c>
      <c r="O30" s="35">
        <f>11+13</f>
        <v>24</v>
      </c>
      <c r="P30" s="67">
        <v>30</v>
      </c>
      <c r="Q30" s="35">
        <v>37</v>
      </c>
      <c r="R30" s="35">
        <f>14+11</f>
        <v>25</v>
      </c>
      <c r="S30" s="35">
        <f>16+23</f>
        <v>39</v>
      </c>
      <c r="T30" s="35">
        <v>40</v>
      </c>
      <c r="U30" s="35">
        <f>17+30</f>
        <v>47</v>
      </c>
      <c r="V30" s="35">
        <f>25+32</f>
        <v>57</v>
      </c>
      <c r="W30" s="13">
        <v>2538</v>
      </c>
      <c r="X30" s="13">
        <v>2699</v>
      </c>
      <c r="Y30" s="13">
        <v>2796</v>
      </c>
      <c r="Z30" s="13">
        <v>3023</v>
      </c>
      <c r="AA30" s="13">
        <v>3332</v>
      </c>
      <c r="AB30" s="13">
        <v>3289</v>
      </c>
      <c r="AC30" s="13">
        <v>3111</v>
      </c>
      <c r="AD30" s="13">
        <v>3294</v>
      </c>
      <c r="AE30" s="13">
        <v>3719</v>
      </c>
      <c r="AF30" s="13">
        <f>1586+2351</f>
        <v>3937</v>
      </c>
      <c r="AG30" s="13">
        <f>1608+2439</f>
        <v>4047</v>
      </c>
      <c r="AH30" s="13">
        <f>1717+2493</f>
        <v>4210</v>
      </c>
      <c r="AI30" s="13">
        <f>1628+2315</f>
        <v>3943</v>
      </c>
      <c r="AJ30" s="13">
        <f>(1578+2384)-(94+381)</f>
        <v>3487</v>
      </c>
      <c r="AK30" s="13">
        <f>(1502+2281)-(142+212)</f>
        <v>3429</v>
      </c>
      <c r="AL30" s="13">
        <f>(1655+2279)-(158+224)</f>
        <v>3552</v>
      </c>
      <c r="AM30" s="19">
        <f>1711+2252</f>
        <v>3963</v>
      </c>
      <c r="AN30" s="19">
        <f>3971-229-368</f>
        <v>3374</v>
      </c>
      <c r="AO30" s="19">
        <f>3997-252</f>
        <v>3745</v>
      </c>
      <c r="AP30" s="19">
        <v>3718</v>
      </c>
      <c r="AQ30" s="19">
        <f>3899-57-75</f>
        <v>3767</v>
      </c>
      <c r="AR30" s="13">
        <v>3989</v>
      </c>
      <c r="AS30" s="13">
        <f>2471-43-48</f>
        <v>2380</v>
      </c>
      <c r="AT30" s="13">
        <v>4136</v>
      </c>
      <c r="AU30" s="13">
        <v>4355</v>
      </c>
      <c r="AV30" s="106">
        <v>63</v>
      </c>
    </row>
    <row r="31" spans="1:48" ht="12.75" customHeight="1">
      <c r="A31" s="3" t="s">
        <v>35</v>
      </c>
      <c r="B31" s="83" t="s">
        <v>36</v>
      </c>
      <c r="C31" s="10">
        <v>0.014705882352941176</v>
      </c>
      <c r="D31" s="10">
        <v>0.017591339648173207</v>
      </c>
      <c r="E31" s="59">
        <v>0.0066050198150594455</v>
      </c>
      <c r="F31" s="10">
        <v>0.025787965616045846</v>
      </c>
      <c r="G31" s="10">
        <v>0.007371007371007371</v>
      </c>
      <c r="H31" s="10">
        <f t="shared" si="7"/>
        <v>0.014857142857142857</v>
      </c>
      <c r="I31" s="48">
        <f t="shared" si="8"/>
        <v>0.012716763005780347</v>
      </c>
      <c r="J31" s="48">
        <f t="shared" si="4"/>
        <v>0.008064516129032258</v>
      </c>
      <c r="K31" s="48">
        <f t="shared" si="9"/>
        <v>0.011389521640091117</v>
      </c>
      <c r="L31" s="48">
        <v>0.012542759407069556</v>
      </c>
      <c r="M31" s="99" t="s">
        <v>36</v>
      </c>
      <c r="N31" s="21">
        <v>11</v>
      </c>
      <c r="O31" s="21">
        <v>13</v>
      </c>
      <c r="P31" s="65">
        <v>5</v>
      </c>
      <c r="Q31" s="21">
        <v>9</v>
      </c>
      <c r="R31" s="21">
        <v>6</v>
      </c>
      <c r="S31" s="21">
        <v>13</v>
      </c>
      <c r="T31" s="21">
        <v>11</v>
      </c>
      <c r="U31" s="21">
        <v>7</v>
      </c>
      <c r="V31" s="21">
        <v>10</v>
      </c>
      <c r="W31" s="34" t="s">
        <v>36</v>
      </c>
      <c r="X31" s="34" t="s">
        <v>36</v>
      </c>
      <c r="Y31" s="34" t="s">
        <v>36</v>
      </c>
      <c r="Z31" s="34" t="s">
        <v>36</v>
      </c>
      <c r="AA31" s="34" t="s">
        <v>36</v>
      </c>
      <c r="AB31" s="34" t="s">
        <v>36</v>
      </c>
      <c r="AC31" s="34" t="s">
        <v>36</v>
      </c>
      <c r="AD31" s="34" t="s">
        <v>36</v>
      </c>
      <c r="AE31" s="34" t="s">
        <v>36</v>
      </c>
      <c r="AF31" s="34" t="s">
        <v>36</v>
      </c>
      <c r="AG31" s="34" t="s">
        <v>36</v>
      </c>
      <c r="AH31" s="34" t="s">
        <v>36</v>
      </c>
      <c r="AI31" s="34" t="s">
        <v>36</v>
      </c>
      <c r="AJ31" s="34" t="s">
        <v>36</v>
      </c>
      <c r="AK31" s="34" t="s">
        <v>36</v>
      </c>
      <c r="AL31" s="13">
        <f>706-7</f>
        <v>699</v>
      </c>
      <c r="AM31" s="13">
        <f>757-9</f>
        <v>748</v>
      </c>
      <c r="AN31" s="19">
        <f>630+109</f>
        <v>739</v>
      </c>
      <c r="AO31" s="19">
        <f>667+90</f>
        <v>757</v>
      </c>
      <c r="AP31" s="19">
        <v>349</v>
      </c>
      <c r="AQ31" s="19">
        <v>814</v>
      </c>
      <c r="AR31" s="13">
        <v>875</v>
      </c>
      <c r="AS31" s="13">
        <f>872-7</f>
        <v>865</v>
      </c>
      <c r="AT31" s="13">
        <v>868</v>
      </c>
      <c r="AU31" s="13">
        <v>878</v>
      </c>
      <c r="AV31" s="106">
        <v>11</v>
      </c>
    </row>
    <row r="32" spans="1:48" ht="12.75" customHeight="1">
      <c r="A32" s="2" t="s">
        <v>99</v>
      </c>
      <c r="B32" s="83" t="s">
        <v>37</v>
      </c>
      <c r="C32" s="38" t="s">
        <v>37</v>
      </c>
      <c r="D32" s="38" t="s">
        <v>37</v>
      </c>
      <c r="E32" s="60" t="s">
        <v>37</v>
      </c>
      <c r="F32" s="38" t="s">
        <v>37</v>
      </c>
      <c r="G32" s="10">
        <v>0.023629068212215783</v>
      </c>
      <c r="H32" s="10">
        <f t="shared" si="7"/>
        <v>0.025924147863658185</v>
      </c>
      <c r="I32" s="48">
        <f t="shared" si="8"/>
        <v>0.022313296903460837</v>
      </c>
      <c r="J32" s="48">
        <f t="shared" si="4"/>
        <v>0.01921397379912664</v>
      </c>
      <c r="K32" s="48">
        <f t="shared" si="9"/>
        <v>0.025544703230653644</v>
      </c>
      <c r="L32" s="48">
        <v>0.01886080724254998</v>
      </c>
      <c r="M32" s="98" t="s">
        <v>37</v>
      </c>
      <c r="N32" s="35" t="s">
        <v>37</v>
      </c>
      <c r="O32" s="35" t="s">
        <v>37</v>
      </c>
      <c r="P32" s="67" t="s">
        <v>37</v>
      </c>
      <c r="Q32" s="35" t="s">
        <v>37</v>
      </c>
      <c r="R32" s="35">
        <v>53</v>
      </c>
      <c r="S32" s="35">
        <v>54</v>
      </c>
      <c r="T32" s="35">
        <f>32+17</f>
        <v>49</v>
      </c>
      <c r="U32" s="35">
        <f>22+22</f>
        <v>44</v>
      </c>
      <c r="V32" s="35">
        <v>68</v>
      </c>
      <c r="AM32" s="19"/>
      <c r="AN32" s="19"/>
      <c r="AO32" s="19"/>
      <c r="AP32" s="19"/>
      <c r="AQ32" s="19">
        <f>2294-51</f>
        <v>2243</v>
      </c>
      <c r="AR32" s="13">
        <v>2083</v>
      </c>
      <c r="AS32" s="13">
        <f>2323-79-48</f>
        <v>2196</v>
      </c>
      <c r="AT32" s="13">
        <v>2290</v>
      </c>
      <c r="AU32" s="13">
        <v>2662</v>
      </c>
      <c r="AV32" s="106">
        <v>50</v>
      </c>
    </row>
    <row r="33" spans="1:48" ht="12.75" customHeight="1">
      <c r="A33" s="2" t="s">
        <v>100</v>
      </c>
      <c r="B33" s="83" t="s">
        <v>37</v>
      </c>
      <c r="C33" s="38" t="s">
        <v>37</v>
      </c>
      <c r="D33" s="38" t="s">
        <v>37</v>
      </c>
      <c r="E33" s="60" t="s">
        <v>37</v>
      </c>
      <c r="F33" s="38" t="s">
        <v>37</v>
      </c>
      <c r="G33" s="38" t="s">
        <v>37</v>
      </c>
      <c r="H33" s="10">
        <f>+S33/AR33</f>
        <v>0.08010335917312661</v>
      </c>
      <c r="I33" s="48">
        <f>+T33/AS33</f>
        <v>0.06852791878172589</v>
      </c>
      <c r="J33" s="48">
        <f>+U33/AT33</f>
        <v>0.056022408963585436</v>
      </c>
      <c r="K33" s="48">
        <f t="shared" si="9"/>
        <v>0.04983388704318937</v>
      </c>
      <c r="L33" s="48">
        <v>0.08482871125611746</v>
      </c>
      <c r="M33" s="98" t="s">
        <v>37</v>
      </c>
      <c r="N33" s="35" t="s">
        <v>37</v>
      </c>
      <c r="O33" s="35" t="s">
        <v>37</v>
      </c>
      <c r="P33" s="67" t="s">
        <v>37</v>
      </c>
      <c r="Q33" s="35" t="s">
        <v>37</v>
      </c>
      <c r="R33" s="35" t="s">
        <v>37</v>
      </c>
      <c r="S33" s="21">
        <v>31</v>
      </c>
      <c r="T33" s="21">
        <f>12+3+12</f>
        <v>27</v>
      </c>
      <c r="U33" s="21">
        <v>20</v>
      </c>
      <c r="V33" s="21">
        <v>30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N33" s="19"/>
      <c r="AO33" s="19"/>
      <c r="AP33" s="19"/>
      <c r="AQ33" s="19"/>
      <c r="AR33" s="13">
        <v>387</v>
      </c>
      <c r="AS33" s="13">
        <f>+(242+51+99+9)-(2+2+2+1)</f>
        <v>394</v>
      </c>
      <c r="AT33" s="13">
        <v>357</v>
      </c>
      <c r="AU33" s="13">
        <v>602</v>
      </c>
      <c r="AV33" s="106">
        <v>52</v>
      </c>
    </row>
    <row r="34" spans="1:48" ht="12.75" customHeight="1">
      <c r="A34" s="2" t="s">
        <v>101</v>
      </c>
      <c r="B34" s="82">
        <v>0.034385113268608415</v>
      </c>
      <c r="C34" s="10">
        <v>0.08929477422628107</v>
      </c>
      <c r="D34" s="10">
        <v>0.09977661950856292</v>
      </c>
      <c r="E34" s="59">
        <v>0.1011387290314681</v>
      </c>
      <c r="F34" s="10">
        <v>0.10035798049623504</v>
      </c>
      <c r="G34" s="10">
        <v>0.13058782118972193</v>
      </c>
      <c r="H34" s="10">
        <f t="shared" si="7"/>
        <v>0.11409858669424336</v>
      </c>
      <c r="I34" s="48">
        <f t="shared" si="8"/>
        <v>0.10600771633290465</v>
      </c>
      <c r="J34" s="48">
        <f t="shared" si="4"/>
        <v>0.10119578797072996</v>
      </c>
      <c r="K34" s="48">
        <f t="shared" si="9"/>
        <v>0.09370037056643726</v>
      </c>
      <c r="L34" s="48">
        <v>0.10262618737195009</v>
      </c>
      <c r="M34" s="97">
        <v>170</v>
      </c>
      <c r="N34" s="21">
        <f>205+499</f>
        <v>704</v>
      </c>
      <c r="O34" s="21">
        <f>274+530</f>
        <v>804</v>
      </c>
      <c r="P34" s="65">
        <f>288+538</f>
        <v>826</v>
      </c>
      <c r="Q34" s="21">
        <v>813</v>
      </c>
      <c r="R34" s="21">
        <f>256+486</f>
        <v>742</v>
      </c>
      <c r="S34" s="21">
        <f>211+451</f>
        <v>662</v>
      </c>
      <c r="T34" s="21">
        <f>176+401</f>
        <v>577</v>
      </c>
      <c r="U34" s="21">
        <f>176+391</f>
        <v>567</v>
      </c>
      <c r="V34" s="21">
        <f>160+371</f>
        <v>531</v>
      </c>
      <c r="W34" s="13">
        <v>4944</v>
      </c>
      <c r="X34" s="13">
        <v>5747</v>
      </c>
      <c r="Y34" s="13">
        <v>5928</v>
      </c>
      <c r="Z34" s="13">
        <v>5703</v>
      </c>
      <c r="AA34" s="13">
        <v>6091</v>
      </c>
      <c r="AB34" s="13">
        <v>6333</v>
      </c>
      <c r="AC34" s="13">
        <v>6946</v>
      </c>
      <c r="AD34" s="13">
        <v>7684</v>
      </c>
      <c r="AE34" s="13">
        <f>3771+5121</f>
        <v>8892</v>
      </c>
      <c r="AF34" s="13">
        <f>4047+5578</f>
        <v>9625</v>
      </c>
      <c r="AG34" s="13">
        <f>4076+5768</f>
        <v>9844</v>
      </c>
      <c r="AH34" s="13">
        <f>3793+5621</f>
        <v>9414</v>
      </c>
      <c r="AI34" s="13">
        <f>3543+5416</f>
        <v>8959</v>
      </c>
      <c r="AJ34" s="13">
        <f>3247+5106</f>
        <v>8353</v>
      </c>
      <c r="AK34" s="13">
        <f>3307+5081</f>
        <v>8388</v>
      </c>
      <c r="AL34" s="13">
        <f>3194+4880</f>
        <v>8074</v>
      </c>
      <c r="AM34" s="13">
        <f>7905-21</f>
        <v>7884</v>
      </c>
      <c r="AN34" s="19">
        <f>8091-16-17</f>
        <v>8058</v>
      </c>
      <c r="AO34" s="19">
        <f>8198-31</f>
        <v>8167</v>
      </c>
      <c r="AP34" s="19">
        <v>8101</v>
      </c>
      <c r="AQ34" s="19">
        <f>5792-62-48</f>
        <v>5682</v>
      </c>
      <c r="AR34" s="13">
        <v>5802</v>
      </c>
      <c r="AS34" s="13">
        <f>5713-150-120</f>
        <v>5443</v>
      </c>
      <c r="AT34" s="13">
        <v>5603</v>
      </c>
      <c r="AU34" s="13">
        <v>5667</v>
      </c>
      <c r="AV34" s="106">
        <v>551</v>
      </c>
    </row>
    <row r="35" spans="1:48" ht="12.75" customHeight="1">
      <c r="A35" s="2" t="s">
        <v>102</v>
      </c>
      <c r="B35" s="82">
        <v>0.0052750565184626974</v>
      </c>
      <c r="C35" s="10">
        <v>0.02479692176143651</v>
      </c>
      <c r="D35" s="10">
        <v>0.02857142857142857</v>
      </c>
      <c r="E35" s="59">
        <v>0.028368794326241134</v>
      </c>
      <c r="F35" s="10">
        <v>0.022675736961451247</v>
      </c>
      <c r="G35" s="10">
        <v>0.027586206896551724</v>
      </c>
      <c r="H35" s="10">
        <f t="shared" si="7"/>
        <v>0.03595041322314049</v>
      </c>
      <c r="I35" s="48">
        <f t="shared" si="8"/>
        <v>0.033224043715846995</v>
      </c>
      <c r="J35" s="48">
        <f t="shared" si="4"/>
        <v>0.028468953149518045</v>
      </c>
      <c r="K35" s="48">
        <f t="shared" si="9"/>
        <v>0.028815848716794237</v>
      </c>
      <c r="L35" s="48">
        <v>0.031018518518518518</v>
      </c>
      <c r="M35" s="97">
        <v>14</v>
      </c>
      <c r="N35" s="21">
        <f>61+55</f>
        <v>116</v>
      </c>
      <c r="O35" s="21">
        <f>63+81</f>
        <v>144</v>
      </c>
      <c r="P35" s="65">
        <f>67+77</f>
        <v>144</v>
      </c>
      <c r="Q35" s="21">
        <v>120</v>
      </c>
      <c r="R35" s="21">
        <f>60+76</f>
        <v>136</v>
      </c>
      <c r="S35" s="21">
        <f>72+102</f>
        <v>174</v>
      </c>
      <c r="T35" s="21">
        <f>60+92</f>
        <v>152</v>
      </c>
      <c r="U35" s="21">
        <f>47+80</f>
        <v>127</v>
      </c>
      <c r="V35" s="21">
        <f>53+75</f>
        <v>128</v>
      </c>
      <c r="W35" s="13">
        <v>2654</v>
      </c>
      <c r="X35" s="13">
        <v>2797</v>
      </c>
      <c r="Y35" s="13">
        <v>2809</v>
      </c>
      <c r="Z35" s="13">
        <v>2704</v>
      </c>
      <c r="AA35" s="13">
        <v>2692</v>
      </c>
      <c r="AB35" s="13">
        <v>3079</v>
      </c>
      <c r="AC35" s="13">
        <v>3193</v>
      </c>
      <c r="AD35" s="13">
        <v>3848</v>
      </c>
      <c r="AE35" s="13">
        <f>1791+2355</f>
        <v>4146</v>
      </c>
      <c r="AF35" s="13">
        <f>2009+2744</f>
        <v>4753</v>
      </c>
      <c r="AG35" s="13">
        <f>2184+2823</f>
        <v>5007</v>
      </c>
      <c r="AH35" s="13">
        <f>2216+2951</f>
        <v>5167</v>
      </c>
      <c r="AI35" s="13">
        <f>2162+2926</f>
        <v>5088</v>
      </c>
      <c r="AJ35" s="13">
        <f>1936+2819</f>
        <v>4755</v>
      </c>
      <c r="AK35" s="13">
        <f>1846+2726</f>
        <v>4572</v>
      </c>
      <c r="AL35" s="13">
        <f>1857+2701</f>
        <v>4558</v>
      </c>
      <c r="AM35" s="13">
        <f>1940+2738</f>
        <v>4678</v>
      </c>
      <c r="AN35" s="19">
        <f>2166+2874</f>
        <v>5040</v>
      </c>
      <c r="AO35" s="19">
        <f>2202+2874</f>
        <v>5076</v>
      </c>
      <c r="AP35" s="19">
        <v>5292</v>
      </c>
      <c r="AQ35" s="19">
        <f>5045-61-54</f>
        <v>4930</v>
      </c>
      <c r="AR35" s="13">
        <v>4840</v>
      </c>
      <c r="AS35" s="13">
        <f>4747-98-74</f>
        <v>4575</v>
      </c>
      <c r="AT35" s="13">
        <v>4461</v>
      </c>
      <c r="AU35" s="13">
        <v>4442</v>
      </c>
      <c r="AV35" s="106">
        <v>134</v>
      </c>
    </row>
    <row r="36" spans="1:48" ht="12.75" customHeight="1">
      <c r="A36" s="2" t="s">
        <v>103</v>
      </c>
      <c r="B36" s="82">
        <v>0.3522091974752029</v>
      </c>
      <c r="C36" s="10">
        <v>0.3778509883426254</v>
      </c>
      <c r="D36" s="10">
        <v>0.37591809481415533</v>
      </c>
      <c r="E36" s="59">
        <v>0.3738295880149813</v>
      </c>
      <c r="F36" s="10">
        <v>0.3406744666207846</v>
      </c>
      <c r="G36" s="10">
        <v>0.31725285171102663</v>
      </c>
      <c r="H36" s="10">
        <f t="shared" si="7"/>
        <v>0.3521873619089704</v>
      </c>
      <c r="I36" s="48">
        <f t="shared" si="8"/>
        <v>0.321161261056929</v>
      </c>
      <c r="J36" s="48">
        <f t="shared" si="4"/>
        <v>0.27443686712130605</v>
      </c>
      <c r="K36" s="48">
        <f t="shared" si="9"/>
        <v>0.2579241765071473</v>
      </c>
      <c r="L36" s="48">
        <v>0.27565733672603904</v>
      </c>
      <c r="M36" s="97">
        <v>1953</v>
      </c>
      <c r="N36" s="21">
        <f>410+1081</f>
        <v>1491</v>
      </c>
      <c r="O36" s="21">
        <f>454+1235</f>
        <v>1689</v>
      </c>
      <c r="P36" s="65">
        <f>437+1160</f>
        <v>1597</v>
      </c>
      <c r="Q36" s="21">
        <v>1485</v>
      </c>
      <c r="R36" s="21">
        <f>343+992</f>
        <v>1335</v>
      </c>
      <c r="S36" s="21">
        <f>417+1177</f>
        <v>1594</v>
      </c>
      <c r="T36" s="21">
        <f>1083+333</f>
        <v>1416</v>
      </c>
      <c r="U36" s="21">
        <f>324+1004</f>
        <v>1328</v>
      </c>
      <c r="V36" s="21">
        <f>320+925</f>
        <v>1245</v>
      </c>
      <c r="W36" s="13">
        <v>5545</v>
      </c>
      <c r="X36" s="13">
        <v>5734</v>
      </c>
      <c r="Y36" s="13">
        <v>5864</v>
      </c>
      <c r="Z36" s="13">
        <v>5247</v>
      </c>
      <c r="AA36" s="13">
        <v>4806</v>
      </c>
      <c r="AB36" s="13">
        <v>4857</v>
      </c>
      <c r="AC36" s="13">
        <v>5635</v>
      </c>
      <c r="AD36" s="13">
        <v>5481</v>
      </c>
      <c r="AE36" s="13">
        <f>2205+3719</f>
        <v>5924</v>
      </c>
      <c r="AF36" s="13">
        <f>2108+3670</f>
        <v>5778</v>
      </c>
      <c r="AG36" s="13">
        <f>2168+3674</f>
        <v>5842</v>
      </c>
      <c r="AH36" s="13">
        <f>2026+3796</f>
        <v>5822</v>
      </c>
      <c r="AI36" s="13">
        <f>1888+3459</f>
        <v>5347</v>
      </c>
      <c r="AJ36" s="13">
        <f>1819+3204</f>
        <v>5023</v>
      </c>
      <c r="AK36" s="13">
        <f>1507+2925</f>
        <v>4432</v>
      </c>
      <c r="AL36" s="13">
        <f>1437+2696</f>
        <v>4133</v>
      </c>
      <c r="AM36" s="13">
        <f>1340+2606</f>
        <v>3946</v>
      </c>
      <c r="AN36" s="19">
        <f>1511+2982</f>
        <v>4493</v>
      </c>
      <c r="AO36" s="19">
        <f>4277-5</f>
        <v>4272</v>
      </c>
      <c r="AP36" s="19">
        <v>4359</v>
      </c>
      <c r="AQ36" s="19">
        <f>4376-58-110</f>
        <v>4208</v>
      </c>
      <c r="AR36" s="13">
        <v>4526</v>
      </c>
      <c r="AS36" s="13">
        <f>4559-102-48</f>
        <v>4409</v>
      </c>
      <c r="AT36" s="13">
        <v>4839</v>
      </c>
      <c r="AU36" s="13">
        <v>4827</v>
      </c>
      <c r="AV36" s="106">
        <v>1300</v>
      </c>
    </row>
    <row r="37" spans="1:48" ht="12.75" customHeight="1" hidden="1">
      <c r="A37" s="2" t="s">
        <v>38</v>
      </c>
      <c r="B37" s="82">
        <v>0.5491183879093199</v>
      </c>
      <c r="C37" s="38" t="s">
        <v>37</v>
      </c>
      <c r="D37" s="38" t="s">
        <v>37</v>
      </c>
      <c r="E37" s="60" t="s">
        <v>37</v>
      </c>
      <c r="F37" s="38" t="s">
        <v>37</v>
      </c>
      <c r="G37" s="38" t="s">
        <v>37</v>
      </c>
      <c r="H37" s="38" t="s">
        <v>37</v>
      </c>
      <c r="I37" s="46" t="s">
        <v>37</v>
      </c>
      <c r="J37" s="76" t="s">
        <v>37</v>
      </c>
      <c r="K37" s="76" t="s">
        <v>37</v>
      </c>
      <c r="L37" s="76"/>
      <c r="M37" s="97">
        <v>218</v>
      </c>
      <c r="N37" s="35" t="s">
        <v>37</v>
      </c>
      <c r="O37" s="35" t="s">
        <v>37</v>
      </c>
      <c r="P37" s="67" t="s">
        <v>37</v>
      </c>
      <c r="Q37" s="35" t="s">
        <v>37</v>
      </c>
      <c r="R37" s="35" t="s">
        <v>37</v>
      </c>
      <c r="S37" s="35" t="s">
        <v>37</v>
      </c>
      <c r="T37" s="35" t="s">
        <v>37</v>
      </c>
      <c r="U37" s="35" t="s">
        <v>37</v>
      </c>
      <c r="V37" s="35" t="s">
        <v>37</v>
      </c>
      <c r="W37" s="35" t="s">
        <v>37</v>
      </c>
      <c r="X37" s="35" t="s">
        <v>37</v>
      </c>
      <c r="Y37" s="35" t="s">
        <v>37</v>
      </c>
      <c r="Z37" s="35" t="s">
        <v>37</v>
      </c>
      <c r="AA37" s="35" t="s">
        <v>37</v>
      </c>
      <c r="AB37" s="35" t="s">
        <v>37</v>
      </c>
      <c r="AC37" s="35" t="s">
        <v>37</v>
      </c>
      <c r="AD37" s="35" t="s">
        <v>37</v>
      </c>
      <c r="AE37" s="35" t="s">
        <v>37</v>
      </c>
      <c r="AF37" s="35" t="s">
        <v>37</v>
      </c>
      <c r="AG37" s="35" t="s">
        <v>37</v>
      </c>
      <c r="AH37" s="35" t="s">
        <v>37</v>
      </c>
      <c r="AI37" s="35" t="s">
        <v>37</v>
      </c>
      <c r="AJ37" s="35" t="s">
        <v>37</v>
      </c>
      <c r="AK37" s="35" t="s">
        <v>37</v>
      </c>
      <c r="AL37" s="35" t="s">
        <v>37</v>
      </c>
      <c r="AM37" s="35" t="s">
        <v>37</v>
      </c>
      <c r="AN37" s="35" t="s">
        <v>37</v>
      </c>
      <c r="AO37" s="35" t="s">
        <v>37</v>
      </c>
      <c r="AP37" s="35" t="s">
        <v>37</v>
      </c>
      <c r="AQ37" s="35" t="s">
        <v>37</v>
      </c>
      <c r="AR37" s="35" t="s">
        <v>37</v>
      </c>
      <c r="AS37" s="35" t="s">
        <v>37</v>
      </c>
      <c r="AT37" s="35" t="s">
        <v>37</v>
      </c>
      <c r="AU37" s="35" t="s">
        <v>37</v>
      </c>
      <c r="AV37" s="35" t="s">
        <v>37</v>
      </c>
    </row>
    <row r="38" spans="1:48" ht="12.75" customHeight="1">
      <c r="A38" s="3" t="s">
        <v>39</v>
      </c>
      <c r="B38" s="82">
        <v>0.010013351134846462</v>
      </c>
      <c r="C38" s="10">
        <v>0.008719778042013475</v>
      </c>
      <c r="D38" s="10">
        <v>0.010697305863708399</v>
      </c>
      <c r="E38" s="59">
        <v>0.011049723756906077</v>
      </c>
      <c r="F38" s="10">
        <v>0.010518407212622089</v>
      </c>
      <c r="G38" s="10">
        <v>0.012367491166077738</v>
      </c>
      <c r="H38" s="10">
        <f t="shared" si="7"/>
        <v>0.012932428063368898</v>
      </c>
      <c r="I38" s="48">
        <f t="shared" si="8"/>
        <v>0.016162310866574967</v>
      </c>
      <c r="J38" s="48">
        <f t="shared" si="4"/>
        <v>0.016312056737588652</v>
      </c>
      <c r="K38" s="48">
        <f t="shared" si="9"/>
        <v>0.01808873720136519</v>
      </c>
      <c r="L38" s="48">
        <v>0.015379357484620642</v>
      </c>
      <c r="M38" s="97">
        <v>15</v>
      </c>
      <c r="N38" s="21">
        <v>22</v>
      </c>
      <c r="O38" s="21">
        <f>11+16</f>
        <v>27</v>
      </c>
      <c r="P38" s="65">
        <f>16+12</f>
        <v>28</v>
      </c>
      <c r="Q38" s="21">
        <v>28</v>
      </c>
      <c r="R38" s="21">
        <f>22+13</f>
        <v>35</v>
      </c>
      <c r="S38" s="21">
        <f>26+14</f>
        <v>40</v>
      </c>
      <c r="T38" s="21">
        <v>47</v>
      </c>
      <c r="U38" s="21">
        <f>24+22</f>
        <v>46</v>
      </c>
      <c r="V38" s="21">
        <f>24+29</f>
        <v>53</v>
      </c>
      <c r="W38" s="13">
        <v>1498</v>
      </c>
      <c r="X38" s="13">
        <v>1588</v>
      </c>
      <c r="Y38" s="13">
        <v>1685</v>
      </c>
      <c r="Z38" s="13">
        <v>1608</v>
      </c>
      <c r="AA38" s="13">
        <v>1854</v>
      </c>
      <c r="AB38" s="13">
        <v>2052</v>
      </c>
      <c r="AC38" s="13">
        <v>2148</v>
      </c>
      <c r="AD38" s="13">
        <v>2205</v>
      </c>
      <c r="AE38" s="13">
        <v>2540</v>
      </c>
      <c r="AF38" s="13">
        <f>982+1667</f>
        <v>2649</v>
      </c>
      <c r="AG38" s="13">
        <f>1033+1809</f>
        <v>2842</v>
      </c>
      <c r="AH38" s="13">
        <f>1144+1817</f>
        <v>2961</v>
      </c>
      <c r="AI38" s="13">
        <f>1097+1685</f>
        <v>2782</v>
      </c>
      <c r="AJ38" s="13">
        <f>853+1690</f>
        <v>2543</v>
      </c>
      <c r="AK38" s="13">
        <f>763+1584</f>
        <v>2347</v>
      </c>
      <c r="AL38" s="13">
        <f>(805+1623)-(21+38)</f>
        <v>2369</v>
      </c>
      <c r="AM38" s="13">
        <f>(797+1770)-(14+30)</f>
        <v>2523</v>
      </c>
      <c r="AN38" s="19">
        <f>2581-25-32</f>
        <v>2524</v>
      </c>
      <c r="AO38" s="19">
        <f>2582-16-32</f>
        <v>2534</v>
      </c>
      <c r="AP38" s="19">
        <v>2662</v>
      </c>
      <c r="AQ38" s="19">
        <f>2878-29-19</f>
        <v>2830</v>
      </c>
      <c r="AR38" s="13">
        <v>3093</v>
      </c>
      <c r="AS38" s="13">
        <f>2946-18-20</f>
        <v>2908</v>
      </c>
      <c r="AT38" s="13">
        <v>2820</v>
      </c>
      <c r="AU38" s="13">
        <v>2930</v>
      </c>
      <c r="AV38" s="106">
        <v>45</v>
      </c>
    </row>
    <row r="39" spans="1:48" ht="12.75" customHeight="1">
      <c r="A39" s="3" t="s">
        <v>40</v>
      </c>
      <c r="B39" s="82">
        <v>0.12601626016260162</v>
      </c>
      <c r="C39" s="10">
        <v>0.03151157065484983</v>
      </c>
      <c r="D39" s="10">
        <v>0.025483304042179262</v>
      </c>
      <c r="E39" s="59">
        <v>0.03693623639191291</v>
      </c>
      <c r="F39" s="10">
        <v>0.041407867494824016</v>
      </c>
      <c r="G39" s="10">
        <v>0.04432734035957842</v>
      </c>
      <c r="H39" s="10">
        <f t="shared" si="7"/>
        <v>0.04304635761589404</v>
      </c>
      <c r="I39" s="48">
        <f t="shared" si="8"/>
        <v>0.04729538374398187</v>
      </c>
      <c r="J39" s="48">
        <f t="shared" si="4"/>
        <v>0.05221861471861472</v>
      </c>
      <c r="K39" s="48">
        <f t="shared" si="9"/>
        <v>0.06055860088749674</v>
      </c>
      <c r="L39" s="48">
        <v>0.05876010781671159</v>
      </c>
      <c r="M39" s="97">
        <v>124</v>
      </c>
      <c r="N39" s="21">
        <f>27+37</f>
        <v>64</v>
      </c>
      <c r="O39" s="21">
        <v>58</v>
      </c>
      <c r="P39" s="65">
        <f>34+61</f>
        <v>95</v>
      </c>
      <c r="Q39" s="21">
        <v>120</v>
      </c>
      <c r="R39" s="21">
        <f>54+89</f>
        <v>143</v>
      </c>
      <c r="S39" s="21">
        <f>64+92</f>
        <v>156</v>
      </c>
      <c r="T39" s="21">
        <v>167</v>
      </c>
      <c r="U39" s="21">
        <f>73+120</f>
        <v>193</v>
      </c>
      <c r="V39" s="21">
        <f>152+80</f>
        <v>232</v>
      </c>
      <c r="W39" s="13">
        <v>984</v>
      </c>
      <c r="X39" s="13">
        <v>1028</v>
      </c>
      <c r="Y39" s="13">
        <v>1121</v>
      </c>
      <c r="Z39" s="13">
        <v>1038</v>
      </c>
      <c r="AA39" s="36" t="s">
        <v>37</v>
      </c>
      <c r="AB39" s="13">
        <v>1070</v>
      </c>
      <c r="AC39" s="13">
        <v>1106</v>
      </c>
      <c r="AD39" s="13">
        <v>1317</v>
      </c>
      <c r="AE39" s="13">
        <v>1400</v>
      </c>
      <c r="AF39" s="13">
        <f>615+903</f>
        <v>1518</v>
      </c>
      <c r="AG39" s="13">
        <f>615+1029</f>
        <v>1644</v>
      </c>
      <c r="AH39" s="13">
        <f>670+1176</f>
        <v>1846</v>
      </c>
      <c r="AI39" s="13">
        <f>672+1111</f>
        <v>1783</v>
      </c>
      <c r="AJ39" s="13">
        <f>589+1009</f>
        <v>1598</v>
      </c>
      <c r="AK39" s="13">
        <f>1754-15</f>
        <v>1739</v>
      </c>
      <c r="AL39" s="13">
        <f>1923-11</f>
        <v>1912</v>
      </c>
      <c r="AM39" s="13">
        <f>2043-12</f>
        <v>2031</v>
      </c>
      <c r="AN39" s="19">
        <f>2293-17</f>
        <v>2276</v>
      </c>
      <c r="AO39" s="19">
        <f>2606-34</f>
        <v>2572</v>
      </c>
      <c r="AP39" s="19">
        <v>2898</v>
      </c>
      <c r="AQ39" s="19">
        <f>3269-31-12</f>
        <v>3226</v>
      </c>
      <c r="AR39" s="13">
        <v>3624</v>
      </c>
      <c r="AS39" s="13">
        <f>3588-57</f>
        <v>3531</v>
      </c>
      <c r="AT39" s="13">
        <v>3696</v>
      </c>
      <c r="AU39" s="13">
        <v>3831</v>
      </c>
      <c r="AV39" s="106">
        <v>218</v>
      </c>
    </row>
    <row r="40" spans="1:48" ht="12.75" customHeight="1">
      <c r="A40" s="2" t="s">
        <v>93</v>
      </c>
      <c r="B40" s="82">
        <v>0.003787878787878788</v>
      </c>
      <c r="C40" s="10">
        <v>0.00909090909090909</v>
      </c>
      <c r="D40" s="10">
        <v>0.009495982468955442</v>
      </c>
      <c r="E40" s="59">
        <v>0.010021474588403722</v>
      </c>
      <c r="F40" s="10">
        <v>0.009180327868852459</v>
      </c>
      <c r="G40" s="10">
        <v>0.007864488808227465</v>
      </c>
      <c r="H40" s="10">
        <f>+S40/AR40</f>
        <v>0.011627906976744186</v>
      </c>
      <c r="I40" s="48">
        <f>+T40/AS40</f>
        <v>0.010005885815185403</v>
      </c>
      <c r="J40" s="48">
        <f>+U40/AT40</f>
        <v>0.011543134872417983</v>
      </c>
      <c r="K40" s="48">
        <f>+V40/AU40</f>
        <v>0.010149253731343283</v>
      </c>
      <c r="L40" s="48">
        <v>0.007537688442211055</v>
      </c>
      <c r="M40" s="97">
        <v>2</v>
      </c>
      <c r="N40" s="21">
        <v>12</v>
      </c>
      <c r="O40" s="21">
        <v>13</v>
      </c>
      <c r="P40" s="65">
        <v>14</v>
      </c>
      <c r="Q40" s="21">
        <v>14</v>
      </c>
      <c r="R40" s="21">
        <f>12+1</f>
        <v>13</v>
      </c>
      <c r="S40" s="21">
        <v>20</v>
      </c>
      <c r="T40" s="21">
        <v>17</v>
      </c>
      <c r="U40" s="21">
        <f>13+6</f>
        <v>19</v>
      </c>
      <c r="V40" s="21">
        <v>17</v>
      </c>
      <c r="W40" s="13">
        <v>528</v>
      </c>
      <c r="X40" s="13">
        <v>542</v>
      </c>
      <c r="Y40" s="13">
        <v>583</v>
      </c>
      <c r="Z40" s="13">
        <v>569</v>
      </c>
      <c r="AA40" s="13">
        <v>608</v>
      </c>
      <c r="AB40" s="13">
        <v>661</v>
      </c>
      <c r="AC40" s="13">
        <v>566</v>
      </c>
      <c r="AD40" s="13">
        <v>555</v>
      </c>
      <c r="AE40" s="13">
        <v>635</v>
      </c>
      <c r="AF40" s="13">
        <f>235+620</f>
        <v>855</v>
      </c>
      <c r="AG40" s="13">
        <f>243+676</f>
        <v>919</v>
      </c>
      <c r="AH40" s="13">
        <f>282+689</f>
        <v>971</v>
      </c>
      <c r="AI40" s="13">
        <f>319+671</f>
        <v>990</v>
      </c>
      <c r="AJ40" s="13">
        <f>(294+722)-(16+46)</f>
        <v>954</v>
      </c>
      <c r="AK40" s="13">
        <f>289+683</f>
        <v>972</v>
      </c>
      <c r="AL40" s="13">
        <f>371+783</f>
        <v>1154</v>
      </c>
      <c r="AM40" s="13">
        <f>419+901</f>
        <v>1320</v>
      </c>
      <c r="AN40" s="19">
        <f>445+924</f>
        <v>1369</v>
      </c>
      <c r="AO40" s="19">
        <f>440+957</f>
        <v>1397</v>
      </c>
      <c r="AP40" s="19">
        <v>1525</v>
      </c>
      <c r="AQ40" s="19">
        <v>1653</v>
      </c>
      <c r="AR40" s="13">
        <v>1720</v>
      </c>
      <c r="AS40" s="13">
        <v>1699</v>
      </c>
      <c r="AT40" s="13">
        <v>1646</v>
      </c>
      <c r="AU40" s="13">
        <v>1675</v>
      </c>
      <c r="AV40" s="106">
        <v>12</v>
      </c>
    </row>
    <row r="41" spans="1:48" ht="12.75" customHeight="1">
      <c r="A41" s="3" t="s">
        <v>41</v>
      </c>
      <c r="B41" s="82">
        <v>0.014925373134328358</v>
      </c>
      <c r="C41" s="10">
        <v>0.0008038585209003215</v>
      </c>
      <c r="D41" s="10">
        <v>0.007272727272727273</v>
      </c>
      <c r="E41" s="59">
        <v>0.0075815011372251705</v>
      </c>
      <c r="F41" s="10">
        <v>0.010699001426533523</v>
      </c>
      <c r="G41" s="10">
        <v>0.014094955489614243</v>
      </c>
      <c r="H41" s="10">
        <f t="shared" si="7"/>
        <v>0.008344923504867872</v>
      </c>
      <c r="I41" s="48">
        <f t="shared" si="8"/>
        <v>0.014037433155080214</v>
      </c>
      <c r="J41" s="48">
        <f t="shared" si="4"/>
        <v>0.013513513513513514</v>
      </c>
      <c r="K41" s="48">
        <f t="shared" si="9"/>
        <v>0.020119225037257823</v>
      </c>
      <c r="L41" s="48">
        <v>0.01440329218106996</v>
      </c>
      <c r="M41" s="97">
        <v>8</v>
      </c>
      <c r="N41" s="21">
        <v>1</v>
      </c>
      <c r="O41" s="21">
        <v>10</v>
      </c>
      <c r="P41" s="65">
        <v>10</v>
      </c>
      <c r="Q41" s="21">
        <v>15</v>
      </c>
      <c r="R41" s="21">
        <f>16+3</f>
        <v>19</v>
      </c>
      <c r="S41" s="21">
        <v>12</v>
      </c>
      <c r="T41" s="21">
        <v>21</v>
      </c>
      <c r="U41" s="21">
        <f>14+5</f>
        <v>19</v>
      </c>
      <c r="V41" s="21">
        <f>16+11</f>
        <v>27</v>
      </c>
      <c r="W41" s="13">
        <v>536</v>
      </c>
      <c r="X41" s="13">
        <v>555</v>
      </c>
      <c r="Y41" s="13">
        <v>626</v>
      </c>
      <c r="Z41" s="13">
        <v>608</v>
      </c>
      <c r="AA41" s="13">
        <v>737</v>
      </c>
      <c r="AB41" s="13">
        <v>788</v>
      </c>
      <c r="AC41" s="13">
        <v>667</v>
      </c>
      <c r="AD41" s="13">
        <v>737</v>
      </c>
      <c r="AE41" s="13">
        <v>845</v>
      </c>
      <c r="AF41" s="13">
        <f>235+668</f>
        <v>903</v>
      </c>
      <c r="AG41" s="13">
        <f>247+724</f>
        <v>971</v>
      </c>
      <c r="AH41" s="13">
        <f>305+733</f>
        <v>1038</v>
      </c>
      <c r="AI41" s="13">
        <f>378+762</f>
        <v>1140</v>
      </c>
      <c r="AJ41" s="13">
        <f>358+780</f>
        <v>1138</v>
      </c>
      <c r="AK41" s="13">
        <f>359+724</f>
        <v>1083</v>
      </c>
      <c r="AL41" s="13">
        <f>380+808</f>
        <v>1188</v>
      </c>
      <c r="AM41" s="13">
        <f>372+872</f>
        <v>1244</v>
      </c>
      <c r="AN41" s="19">
        <f>425+950</f>
        <v>1375</v>
      </c>
      <c r="AO41" s="19">
        <f>426+893</f>
        <v>1319</v>
      </c>
      <c r="AP41" s="19">
        <v>1402</v>
      </c>
      <c r="AQ41" s="19">
        <v>1348</v>
      </c>
      <c r="AR41" s="13">
        <v>1438</v>
      </c>
      <c r="AS41" s="13">
        <v>1496</v>
      </c>
      <c r="AT41" s="13">
        <v>1406</v>
      </c>
      <c r="AU41" s="13">
        <v>1342</v>
      </c>
      <c r="AV41" s="106">
        <v>21</v>
      </c>
    </row>
    <row r="42" spans="1:48" ht="12.75" customHeight="1">
      <c r="A42" s="3" t="s">
        <v>42</v>
      </c>
      <c r="B42" s="84" t="s">
        <v>37</v>
      </c>
      <c r="C42" s="10">
        <v>0.013543118900617407</v>
      </c>
      <c r="D42" s="10">
        <v>0.01654482493266641</v>
      </c>
      <c r="E42" s="59">
        <v>0.019080659150043366</v>
      </c>
      <c r="F42" s="10">
        <v>0.01767472028538998</v>
      </c>
      <c r="G42" s="10">
        <v>0.01520086862106406</v>
      </c>
      <c r="H42" s="10">
        <f t="shared" si="7"/>
        <v>0.014883148831488315</v>
      </c>
      <c r="I42" s="48">
        <f t="shared" si="8"/>
        <v>0.01705782724413259</v>
      </c>
      <c r="J42" s="48">
        <f t="shared" si="4"/>
        <v>0.021096104475945975</v>
      </c>
      <c r="K42" s="48">
        <f t="shared" si="9"/>
        <v>0.020893294957893615</v>
      </c>
      <c r="L42" s="48">
        <v>0.01955104996379435</v>
      </c>
      <c r="M42" s="100" t="s">
        <v>37</v>
      </c>
      <c r="N42" s="21">
        <f>37+31</f>
        <v>68</v>
      </c>
      <c r="O42" s="21">
        <f>43+43</f>
        <v>86</v>
      </c>
      <c r="P42" s="65">
        <f>51+59</f>
        <v>110</v>
      </c>
      <c r="Q42" s="21">
        <v>109</v>
      </c>
      <c r="R42" s="21">
        <f>59+53</f>
        <v>112</v>
      </c>
      <c r="S42" s="21">
        <f>59+62</f>
        <v>121</v>
      </c>
      <c r="T42" s="21">
        <f>59+82</f>
        <v>141</v>
      </c>
      <c r="U42" s="21">
        <f>87+102</f>
        <v>189</v>
      </c>
      <c r="V42" s="21">
        <f>89+107</f>
        <v>196</v>
      </c>
      <c r="AG42" s="13">
        <f>572+607</f>
        <v>1179</v>
      </c>
      <c r="AH42" s="13">
        <v>2073</v>
      </c>
      <c r="AI42" s="13">
        <f>1321+1613</f>
        <v>2934</v>
      </c>
      <c r="AJ42" s="13">
        <f>(1286+1809)-(24+24)</f>
        <v>3047</v>
      </c>
      <c r="AK42" s="13">
        <f>3507-29</f>
        <v>3478</v>
      </c>
      <c r="AL42" s="13">
        <f>(1851+2410)-(25)</f>
        <v>4236</v>
      </c>
      <c r="AM42" s="13">
        <f>(2363+2766)-108</f>
        <v>5021</v>
      </c>
      <c r="AN42" s="19">
        <f>5317-75-44</f>
        <v>5198</v>
      </c>
      <c r="AO42" s="19">
        <f>5922-157</f>
        <v>5765</v>
      </c>
      <c r="AP42" s="19">
        <v>6167</v>
      </c>
      <c r="AQ42" s="19">
        <f>7571-113-90</f>
        <v>7368</v>
      </c>
      <c r="AR42" s="13">
        <v>8130</v>
      </c>
      <c r="AS42" s="13">
        <f>8488-111-111</f>
        <v>8266</v>
      </c>
      <c r="AT42" s="13">
        <v>8959</v>
      </c>
      <c r="AU42" s="13">
        <v>9381</v>
      </c>
      <c r="AV42" s="106">
        <v>189</v>
      </c>
    </row>
    <row r="43" spans="1:48" ht="12.75" customHeight="1">
      <c r="A43" s="3" t="s">
        <v>43</v>
      </c>
      <c r="B43" s="82">
        <v>0.028967254408060455</v>
      </c>
      <c r="C43" s="10">
        <v>0.03861880963198546</v>
      </c>
      <c r="D43" s="10">
        <v>0.04041720990873533</v>
      </c>
      <c r="E43" s="59">
        <v>0.04810126582278481</v>
      </c>
      <c r="F43" s="10">
        <v>0.05832282471626734</v>
      </c>
      <c r="G43" s="10">
        <v>0.0515992757996379</v>
      </c>
      <c r="H43" s="10">
        <f t="shared" si="7"/>
        <v>0.051367781155015196</v>
      </c>
      <c r="I43" s="48">
        <f t="shared" si="8"/>
        <v>0.055373623102113724</v>
      </c>
      <c r="J43" s="48">
        <f t="shared" si="4"/>
        <v>0.050293925538863485</v>
      </c>
      <c r="K43" s="48">
        <f t="shared" si="9"/>
        <v>0.05452674897119342</v>
      </c>
      <c r="L43" s="48">
        <v>0.040473407364114554</v>
      </c>
      <c r="M43" s="97">
        <v>46</v>
      </c>
      <c r="N43" s="21">
        <f>47+38</f>
        <v>85</v>
      </c>
      <c r="O43" s="21">
        <f>48+45</f>
        <v>93</v>
      </c>
      <c r="P43" s="65">
        <f>84+49</f>
        <v>133</v>
      </c>
      <c r="Q43" s="21">
        <v>185</v>
      </c>
      <c r="R43" s="21">
        <f>100+71</f>
        <v>171</v>
      </c>
      <c r="S43" s="21">
        <f>83+86</f>
        <v>169</v>
      </c>
      <c r="T43" s="21">
        <f>97+89</f>
        <v>186</v>
      </c>
      <c r="U43" s="21">
        <f>74+80</f>
        <v>154</v>
      </c>
      <c r="V43" s="21">
        <f>89+70</f>
        <v>159</v>
      </c>
      <c r="W43" s="13">
        <v>1588</v>
      </c>
      <c r="X43" s="13">
        <v>1574</v>
      </c>
      <c r="Y43" s="13">
        <v>1418</v>
      </c>
      <c r="Z43" s="13">
        <v>1615</v>
      </c>
      <c r="AA43" s="13">
        <v>1559</v>
      </c>
      <c r="AB43" s="13">
        <v>1508</v>
      </c>
      <c r="AC43" s="13">
        <v>1572</v>
      </c>
      <c r="AD43" s="13">
        <v>1750</v>
      </c>
      <c r="AE43" s="13">
        <v>2224</v>
      </c>
      <c r="AF43" s="13">
        <f>936+1433</f>
        <v>2369</v>
      </c>
      <c r="AG43" s="13">
        <f>1058+1363</f>
        <v>2421</v>
      </c>
      <c r="AH43" s="13">
        <f>950+1466</f>
        <v>2416</v>
      </c>
      <c r="AI43" s="13">
        <f>1007+1478</f>
        <v>2485</v>
      </c>
      <c r="AJ43" s="13">
        <f>976+1406</f>
        <v>2382</v>
      </c>
      <c r="AK43" s="13">
        <f>938+1136</f>
        <v>2074</v>
      </c>
      <c r="AL43" s="13">
        <f>2113-12</f>
        <v>2101</v>
      </c>
      <c r="AM43" s="13">
        <f>(1025+1192)-16</f>
        <v>2201</v>
      </c>
      <c r="AN43" s="19">
        <f>2309-8</f>
        <v>2301</v>
      </c>
      <c r="AO43" s="19">
        <f>2790-25</f>
        <v>2765</v>
      </c>
      <c r="AP43" s="19">
        <v>3172</v>
      </c>
      <c r="AQ43" s="19">
        <f>3355-13-28</f>
        <v>3314</v>
      </c>
      <c r="AR43" s="13">
        <v>3290</v>
      </c>
      <c r="AS43" s="13">
        <f>3391-12-20</f>
        <v>3359</v>
      </c>
      <c r="AT43" s="13">
        <v>3062</v>
      </c>
      <c r="AU43" s="13">
        <v>2916</v>
      </c>
      <c r="AV43" s="106">
        <v>277</v>
      </c>
    </row>
    <row r="44" spans="1:48" ht="12.75" customHeight="1">
      <c r="A44" s="3" t="s">
        <v>44</v>
      </c>
      <c r="B44" s="83" t="s">
        <v>37</v>
      </c>
      <c r="C44" s="10">
        <v>0.014866204162537165</v>
      </c>
      <c r="D44" s="10">
        <v>0.014955686853766617</v>
      </c>
      <c r="E44" s="59">
        <v>0.02189648932319942</v>
      </c>
      <c r="F44" s="10">
        <v>0.025696316262354</v>
      </c>
      <c r="G44" s="10">
        <v>0.025765678172095283</v>
      </c>
      <c r="H44" s="10">
        <f t="shared" si="7"/>
        <v>0.027828191167574106</v>
      </c>
      <c r="I44" s="48">
        <f t="shared" si="8"/>
        <v>0.030316606929510156</v>
      </c>
      <c r="J44" s="48">
        <f t="shared" si="4"/>
        <v>0.036473715298287065</v>
      </c>
      <c r="K44" s="48">
        <f t="shared" si="9"/>
        <v>0.0413391557496361</v>
      </c>
      <c r="L44" s="48">
        <v>0.4933376143843314</v>
      </c>
      <c r="M44" s="98" t="s">
        <v>37</v>
      </c>
      <c r="N44" s="21">
        <f>31+44</f>
        <v>75</v>
      </c>
      <c r="O44" s="21">
        <f>28+53</f>
        <v>81</v>
      </c>
      <c r="P44" s="65">
        <f>37+84</f>
        <v>121</v>
      </c>
      <c r="Q44" s="21">
        <v>143</v>
      </c>
      <c r="R44" s="21">
        <f>53+106</f>
        <v>159</v>
      </c>
      <c r="S44" s="21">
        <f>60+124</f>
        <v>184</v>
      </c>
      <c r="T44" s="21">
        <f>59+144</f>
        <v>203</v>
      </c>
      <c r="U44" s="21">
        <f>77+170</f>
        <v>247</v>
      </c>
      <c r="V44" s="21">
        <f>88+196</f>
        <v>284</v>
      </c>
      <c r="W44" s="36" t="s">
        <v>37</v>
      </c>
      <c r="X44" s="36" t="s">
        <v>37</v>
      </c>
      <c r="Y44" s="36" t="s">
        <v>37</v>
      </c>
      <c r="Z44" s="36" t="s">
        <v>37</v>
      </c>
      <c r="AA44" s="36" t="s">
        <v>37</v>
      </c>
      <c r="AB44" s="36" t="s">
        <v>37</v>
      </c>
      <c r="AC44" s="13">
        <v>1547</v>
      </c>
      <c r="AD44" s="13">
        <v>2249</v>
      </c>
      <c r="AE44" s="13">
        <v>2938</v>
      </c>
      <c r="AF44" s="13">
        <f>1040+2465</f>
        <v>3505</v>
      </c>
      <c r="AG44" s="13">
        <f>1136+2731</f>
        <v>3867</v>
      </c>
      <c r="AH44" s="13">
        <f>1519+3096</f>
        <v>4615</v>
      </c>
      <c r="AI44" s="13">
        <f>1654+3016</f>
        <v>4670</v>
      </c>
      <c r="AJ44" s="13">
        <f>1597+2954</f>
        <v>4551</v>
      </c>
      <c r="AK44" s="13">
        <f>1600+2976</f>
        <v>4576</v>
      </c>
      <c r="AL44" s="13">
        <f>1691+2966</f>
        <v>4657</v>
      </c>
      <c r="AM44" s="13">
        <f>1889+3156</f>
        <v>5045</v>
      </c>
      <c r="AN44" s="19">
        <f>2080+3336</f>
        <v>5416</v>
      </c>
      <c r="AO44" s="19">
        <f>2106+3420</f>
        <v>5526</v>
      </c>
      <c r="AP44" s="19">
        <v>5565</v>
      </c>
      <c r="AQ44" s="19">
        <f>6171-0</f>
        <v>6171</v>
      </c>
      <c r="AR44" s="13">
        <v>6612</v>
      </c>
      <c r="AS44" s="13">
        <v>6696</v>
      </c>
      <c r="AT44" s="13">
        <v>6772</v>
      </c>
      <c r="AU44" s="13">
        <v>6870</v>
      </c>
      <c r="AV44" s="106">
        <v>3073</v>
      </c>
    </row>
    <row r="45" spans="1:48" ht="12.75" customHeight="1">
      <c r="A45" s="2" t="s">
        <v>45</v>
      </c>
      <c r="B45" s="82">
        <v>0.1967619362299686</v>
      </c>
      <c r="C45" s="10">
        <v>0.367233338348127</v>
      </c>
      <c r="D45" s="10">
        <v>0.3859441901668389</v>
      </c>
      <c r="E45" s="59">
        <v>0.4081940051212532</v>
      </c>
      <c r="F45" s="10">
        <v>0.4216905901116427</v>
      </c>
      <c r="G45" s="10">
        <v>0.46699074800062723</v>
      </c>
      <c r="H45" s="10">
        <f t="shared" si="7"/>
        <v>0.4446426121553025</v>
      </c>
      <c r="I45" s="48">
        <f t="shared" si="8"/>
        <v>0.4845360824742268</v>
      </c>
      <c r="J45" s="48">
        <f t="shared" si="4"/>
        <v>0.4553624042427814</v>
      </c>
      <c r="K45" s="48">
        <f t="shared" si="9"/>
        <v>0.4823785126533147</v>
      </c>
      <c r="L45" s="48">
        <v>0.45159989244420545</v>
      </c>
      <c r="M45" s="97">
        <v>2382</v>
      </c>
      <c r="N45" s="21">
        <f>772+1669</f>
        <v>2441</v>
      </c>
      <c r="O45" s="21">
        <f>824+1790</f>
        <v>2614</v>
      </c>
      <c r="P45" s="65">
        <f>828+1882</f>
        <v>2710</v>
      </c>
      <c r="Q45" s="21">
        <v>2644</v>
      </c>
      <c r="R45" s="21">
        <f>878+2100</f>
        <v>2978</v>
      </c>
      <c r="S45" s="21">
        <f>890+2351</f>
        <v>3241</v>
      </c>
      <c r="T45" s="21">
        <f>847+2349</f>
        <v>3196</v>
      </c>
      <c r="U45" s="21">
        <f>803+2288</f>
        <v>3091</v>
      </c>
      <c r="V45" s="21">
        <f>850+2257</f>
        <v>3107</v>
      </c>
      <c r="W45" s="13">
        <v>12106</v>
      </c>
      <c r="X45" s="13">
        <v>12069</v>
      </c>
      <c r="Y45" s="13">
        <v>12884</v>
      </c>
      <c r="Z45" s="13">
        <v>11628</v>
      </c>
      <c r="AA45" s="13">
        <v>10888</v>
      </c>
      <c r="AB45" s="13">
        <v>10383</v>
      </c>
      <c r="AC45" s="13">
        <v>10193</v>
      </c>
      <c r="AD45" s="13">
        <v>10294</v>
      </c>
      <c r="AE45" s="13">
        <v>10816</v>
      </c>
      <c r="AF45" s="13">
        <f>4346+6273</f>
        <v>10619</v>
      </c>
      <c r="AG45" s="13">
        <f>4126+6107</f>
        <v>10233</v>
      </c>
      <c r="AH45" s="13">
        <f>3759+5916</f>
        <v>9675</v>
      </c>
      <c r="AI45" s="13">
        <f>3568+5732</f>
        <v>9300</v>
      </c>
      <c r="AJ45" s="13">
        <f>(3300+5190)-(199+278)</f>
        <v>8013</v>
      </c>
      <c r="AK45" s="13">
        <v>7479</v>
      </c>
      <c r="AL45" s="13">
        <f>(2709+4675)-(158+246)</f>
        <v>6980</v>
      </c>
      <c r="AM45" s="13">
        <f>(2703+4347)-(158+245)</f>
        <v>6647</v>
      </c>
      <c r="AN45" s="19">
        <f>(2759+4362)-(159+189)</f>
        <v>6773</v>
      </c>
      <c r="AO45" s="19">
        <f>7045-169-237</f>
        <v>6639</v>
      </c>
      <c r="AP45" s="19">
        <v>6270</v>
      </c>
      <c r="AQ45" s="19">
        <f>6924-298-249</f>
        <v>6377</v>
      </c>
      <c r="AR45" s="13">
        <v>7289</v>
      </c>
      <c r="AS45" s="13">
        <f>7136-316-224</f>
        <v>6596</v>
      </c>
      <c r="AT45" s="13">
        <v>6788</v>
      </c>
      <c r="AU45" s="13">
        <v>6441</v>
      </c>
      <c r="AV45" s="106">
        <v>3359</v>
      </c>
    </row>
    <row r="46" spans="1:48" ht="12.75" customHeight="1">
      <c r="A46" s="2" t="s">
        <v>46</v>
      </c>
      <c r="B46" s="82">
        <v>0.4625902012913027</v>
      </c>
      <c r="C46" s="10">
        <v>0.4419682652879301</v>
      </c>
      <c r="D46" s="10">
        <v>0.45434543454345433</v>
      </c>
      <c r="E46" s="59">
        <v>0.4502214203706741</v>
      </c>
      <c r="F46" s="10">
        <v>0.45577905491698595</v>
      </c>
      <c r="G46" s="10">
        <v>0.46424030514939607</v>
      </c>
      <c r="H46" s="10">
        <f t="shared" si="7"/>
        <v>0.4185282522996058</v>
      </c>
      <c r="I46" s="48">
        <f t="shared" si="8"/>
        <v>0.4629520729197295</v>
      </c>
      <c r="J46" s="48">
        <f t="shared" si="4"/>
        <v>0.4300402945671808</v>
      </c>
      <c r="K46" s="48">
        <f t="shared" si="9"/>
        <v>0.4432380428807037</v>
      </c>
      <c r="L46" s="48">
        <v>0.043721870120326994</v>
      </c>
      <c r="M46" s="97">
        <v>3654</v>
      </c>
      <c r="N46" s="21">
        <f>741+1738</f>
        <v>2479</v>
      </c>
      <c r="O46" s="21">
        <f>727+1751</f>
        <v>2478</v>
      </c>
      <c r="P46" s="65">
        <f>774+1971</f>
        <v>2745</v>
      </c>
      <c r="Q46" s="21">
        <v>2855</v>
      </c>
      <c r="R46" s="21">
        <f>820+2101</f>
        <v>2921</v>
      </c>
      <c r="S46" s="21">
        <f>900+2285</f>
        <v>3185</v>
      </c>
      <c r="T46" s="21">
        <f>882+2267</f>
        <v>3149</v>
      </c>
      <c r="U46" s="21">
        <f>833+2262</f>
        <v>3095</v>
      </c>
      <c r="V46" s="21">
        <f>871+2354</f>
        <v>3225</v>
      </c>
      <c r="W46" s="13">
        <v>7899</v>
      </c>
      <c r="X46" s="13">
        <v>7989</v>
      </c>
      <c r="Y46" s="13">
        <v>8801</v>
      </c>
      <c r="Z46" s="13">
        <v>7351</v>
      </c>
      <c r="AA46" s="13">
        <v>6773</v>
      </c>
      <c r="AB46" s="13">
        <v>6137</v>
      </c>
      <c r="AC46" s="13">
        <v>6110</v>
      </c>
      <c r="AD46" s="13">
        <v>6199</v>
      </c>
      <c r="AE46" s="13">
        <v>6602</v>
      </c>
      <c r="AF46" s="13">
        <f>2933+4209</f>
        <v>7142</v>
      </c>
      <c r="AG46" s="13">
        <f>2940+4529</f>
        <v>7469</v>
      </c>
      <c r="AH46" s="13">
        <f>2926+4638</f>
        <v>7564</v>
      </c>
      <c r="AI46" s="13">
        <f>2690+4408</f>
        <v>7098</v>
      </c>
      <c r="AJ46" s="13">
        <f>(2593+4203)-(178+285)</f>
        <v>6333</v>
      </c>
      <c r="AK46" s="13">
        <v>5989</v>
      </c>
      <c r="AL46" s="13">
        <f>(2514+3761)-(231+284)</f>
        <v>5760</v>
      </c>
      <c r="AM46" s="13">
        <f>(2430+3642)-(463)</f>
        <v>5609</v>
      </c>
      <c r="AN46" s="19">
        <f>5872-196-222</f>
        <v>5454</v>
      </c>
      <c r="AO46" s="19">
        <f>6456-161-198</f>
        <v>6097</v>
      </c>
      <c r="AP46" s="19">
        <v>6264</v>
      </c>
      <c r="AQ46" s="19">
        <f>6930-351-287</f>
        <v>6292</v>
      </c>
      <c r="AR46" s="13">
        <v>7610</v>
      </c>
      <c r="AS46" s="13">
        <f>7576-440-334</f>
        <v>6802</v>
      </c>
      <c r="AT46" s="13">
        <v>7197</v>
      </c>
      <c r="AU46" s="13">
        <v>7276</v>
      </c>
      <c r="AV46" s="106">
        <v>476</v>
      </c>
    </row>
    <row r="47" spans="1:48" ht="12.75" customHeight="1">
      <c r="A47" s="2" t="s">
        <v>47</v>
      </c>
      <c r="B47" s="82">
        <v>0.026244119831641495</v>
      </c>
      <c r="C47" s="10">
        <v>0.030792917628945343</v>
      </c>
      <c r="D47" s="10">
        <v>0.032345931222335714</v>
      </c>
      <c r="E47" s="59">
        <v>0.03726961343989561</v>
      </c>
      <c r="F47" s="10">
        <v>0.036941135853616434</v>
      </c>
      <c r="G47" s="10">
        <v>0.03738069989395546</v>
      </c>
      <c r="H47" s="10">
        <f t="shared" si="7"/>
        <v>0.03553581343697946</v>
      </c>
      <c r="I47" s="48">
        <f t="shared" si="8"/>
        <v>0.04030529114141154</v>
      </c>
      <c r="J47" s="48">
        <f t="shared" si="4"/>
        <v>0.035313531353135315</v>
      </c>
      <c r="K47" s="48">
        <f t="shared" si="9"/>
        <v>0.042029110326414605</v>
      </c>
      <c r="L47" s="48">
        <v>0.04867960547247852</v>
      </c>
      <c r="M47" s="97">
        <v>318</v>
      </c>
      <c r="N47" s="21">
        <f>157+203</f>
        <v>360</v>
      </c>
      <c r="O47" s="21">
        <f>164+216</f>
        <v>380</v>
      </c>
      <c r="P47" s="65">
        <f>182+275</f>
        <v>457</v>
      </c>
      <c r="Q47" s="21">
        <v>428</v>
      </c>
      <c r="R47" s="21">
        <f>277+146</f>
        <v>423</v>
      </c>
      <c r="S47" s="21">
        <f>169+279</f>
        <v>448</v>
      </c>
      <c r="T47" s="21">
        <f>174+296</f>
        <v>470</v>
      </c>
      <c r="U47" s="21">
        <f>155+273</f>
        <v>428</v>
      </c>
      <c r="V47" s="21">
        <f>174+314</f>
        <v>488</v>
      </c>
      <c r="W47" s="13">
        <v>12117</v>
      </c>
      <c r="X47" s="13">
        <v>12308</v>
      </c>
      <c r="Y47" s="13">
        <v>13579</v>
      </c>
      <c r="Z47" s="13">
        <v>12649</v>
      </c>
      <c r="AA47" s="13">
        <v>12238</v>
      </c>
      <c r="AB47" s="13">
        <v>12100</v>
      </c>
      <c r="AC47" s="13">
        <v>12892</v>
      </c>
      <c r="AD47" s="13">
        <v>13728</v>
      </c>
      <c r="AE47" s="13">
        <v>14429</v>
      </c>
      <c r="AF47" s="13">
        <f>5912+8676</f>
        <v>14588</v>
      </c>
      <c r="AG47" s="13">
        <f>6138+8729</f>
        <v>14867</v>
      </c>
      <c r="AH47" s="13">
        <f>5922+8842</f>
        <v>14764</v>
      </c>
      <c r="AI47" s="13">
        <f>5612+8392</f>
        <v>14004</v>
      </c>
      <c r="AJ47" s="13">
        <f>(5514+8202)-(474+661)</f>
        <v>12581</v>
      </c>
      <c r="AK47" s="13">
        <v>12100</v>
      </c>
      <c r="AL47" s="13">
        <f>(5362+7436)-(455+539)</f>
        <v>11804</v>
      </c>
      <c r="AM47" s="13">
        <f>(5382+7274)-(448+517)</f>
        <v>11691</v>
      </c>
      <c r="AN47" s="19">
        <f>12713-454-511</f>
        <v>11748</v>
      </c>
      <c r="AO47" s="19">
        <f>13248-485-501</f>
        <v>12262</v>
      </c>
      <c r="AP47" s="19">
        <v>11586</v>
      </c>
      <c r="AQ47" s="19">
        <f>12296-544-436</f>
        <v>11316</v>
      </c>
      <c r="AR47" s="13">
        <v>12607</v>
      </c>
      <c r="AS47" s="13">
        <f>12716-565-490</f>
        <v>11661</v>
      </c>
      <c r="AT47" s="13">
        <v>12120</v>
      </c>
      <c r="AU47" s="13">
        <v>11611</v>
      </c>
      <c r="AV47" s="106">
        <v>153</v>
      </c>
    </row>
    <row r="48" spans="1:48" ht="12.75" customHeight="1">
      <c r="A48" s="3" t="s">
        <v>48</v>
      </c>
      <c r="B48" s="82">
        <v>0.029065200314218383</v>
      </c>
      <c r="C48" s="10">
        <v>0.033582089552238806</v>
      </c>
      <c r="D48" s="10">
        <v>0.03023758099352052</v>
      </c>
      <c r="E48" s="59">
        <v>0.04124116260801257</v>
      </c>
      <c r="F48" s="10">
        <v>0.04748260335652886</v>
      </c>
      <c r="G48" s="10">
        <v>0.05531135531135531</v>
      </c>
      <c r="H48" s="10">
        <f t="shared" si="7"/>
        <v>0.06445931666079606</v>
      </c>
      <c r="I48" s="48">
        <f t="shared" si="8"/>
        <v>0.07947434292866083</v>
      </c>
      <c r="J48" s="48">
        <f t="shared" si="4"/>
        <v>0.08065994500458296</v>
      </c>
      <c r="K48" s="48">
        <f t="shared" si="9"/>
        <v>0.07836456558773425</v>
      </c>
      <c r="L48" s="48">
        <v>0.07009345794392523</v>
      </c>
      <c r="M48" s="97">
        <v>37</v>
      </c>
      <c r="N48" s="21">
        <f>29+52</f>
        <v>81</v>
      </c>
      <c r="O48" s="21">
        <f>23+47</f>
        <v>70</v>
      </c>
      <c r="P48" s="65">
        <v>105</v>
      </c>
      <c r="Q48" s="21">
        <v>116</v>
      </c>
      <c r="R48" s="21">
        <f>36+115</f>
        <v>151</v>
      </c>
      <c r="S48" s="21">
        <f>37+146</f>
        <v>183</v>
      </c>
      <c r="T48" s="21">
        <f>48+206</f>
        <v>254</v>
      </c>
      <c r="U48" s="21">
        <f>57+207</f>
        <v>264</v>
      </c>
      <c r="V48" s="21">
        <f>70+160</f>
        <v>230</v>
      </c>
      <c r="W48" s="13">
        <v>1273</v>
      </c>
      <c r="X48" s="13">
        <v>1389</v>
      </c>
      <c r="Y48" s="13">
        <v>1537</v>
      </c>
      <c r="Z48" s="13">
        <v>1313</v>
      </c>
      <c r="AA48" s="13">
        <v>1529</v>
      </c>
      <c r="AB48" s="13">
        <v>1679</v>
      </c>
      <c r="AC48" s="13">
        <v>1613</v>
      </c>
      <c r="AD48" s="13">
        <v>1776</v>
      </c>
      <c r="AE48" s="13">
        <v>1932</v>
      </c>
      <c r="AF48" s="13">
        <f>640+1422</f>
        <v>2062</v>
      </c>
      <c r="AG48" s="13">
        <f>768+1568</f>
        <v>2336</v>
      </c>
      <c r="AH48" s="13">
        <f>828+1663</f>
        <v>2491</v>
      </c>
      <c r="AI48" s="13">
        <f>894+1650</f>
        <v>2544</v>
      </c>
      <c r="AJ48" s="13">
        <f>842+1563</f>
        <v>2405</v>
      </c>
      <c r="AK48" s="13">
        <f>787+1516</f>
        <v>2303</v>
      </c>
      <c r="AL48" s="13">
        <f>800+1549</f>
        <v>2349</v>
      </c>
      <c r="AM48" s="13">
        <f>843+1569</f>
        <v>2412</v>
      </c>
      <c r="AN48" s="19">
        <f>789+1526</f>
        <v>2315</v>
      </c>
      <c r="AO48" s="19">
        <f>880+1666</f>
        <v>2546</v>
      </c>
      <c r="AP48" s="19">
        <v>2443</v>
      </c>
      <c r="AQ48" s="19">
        <f>2812-45-37</f>
        <v>2730</v>
      </c>
      <c r="AR48" s="13">
        <v>2839</v>
      </c>
      <c r="AS48" s="13">
        <f>3213-9-8</f>
        <v>3196</v>
      </c>
      <c r="AT48" s="13">
        <v>3273</v>
      </c>
      <c r="AU48" s="13">
        <v>2935</v>
      </c>
      <c r="AV48" s="106">
        <v>210</v>
      </c>
    </row>
    <row r="49" spans="1:48" ht="12.75" customHeight="1">
      <c r="A49" s="19" t="s">
        <v>30</v>
      </c>
      <c r="B49" s="82">
        <v>0.15569898427090723</v>
      </c>
      <c r="C49" s="10">
        <v>0.11233924226624957</v>
      </c>
      <c r="D49" s="10">
        <v>0.11754905843313442</v>
      </c>
      <c r="E49" s="59">
        <v>0.11992521018292125</v>
      </c>
      <c r="F49" s="10">
        <v>0.11947462468533566</v>
      </c>
      <c r="G49" s="10">
        <v>0.11873165592153125</v>
      </c>
      <c r="H49" s="10">
        <f t="shared" si="7"/>
        <v>0.1198940035640723</v>
      </c>
      <c r="I49" s="48">
        <f t="shared" si="8"/>
        <v>0.12380303454317593</v>
      </c>
      <c r="J49" s="48">
        <f t="shared" si="4"/>
        <v>0.11516564047262903</v>
      </c>
      <c r="K49" s="48">
        <f t="shared" si="9"/>
        <v>0.1167600470360379</v>
      </c>
      <c r="L49" s="48">
        <v>0.11882312058380633</v>
      </c>
      <c r="M49" s="97">
        <f aca="true" t="shared" si="10" ref="M49:U49">SUM(M28:M48)</f>
        <v>8998</v>
      </c>
      <c r="N49" s="11">
        <f t="shared" si="10"/>
        <v>8080</v>
      </c>
      <c r="O49" s="11">
        <f t="shared" si="10"/>
        <v>8608</v>
      </c>
      <c r="P49" s="66">
        <f t="shared" si="10"/>
        <v>9172</v>
      </c>
      <c r="Q49" s="11">
        <f t="shared" si="10"/>
        <v>9160</v>
      </c>
      <c r="R49" s="11">
        <f t="shared" si="10"/>
        <v>9466</v>
      </c>
      <c r="S49" s="11">
        <f t="shared" si="10"/>
        <v>10361</v>
      </c>
      <c r="T49" s="11">
        <f t="shared" si="10"/>
        <v>10175</v>
      </c>
      <c r="U49" s="11">
        <f t="shared" si="10"/>
        <v>9932</v>
      </c>
      <c r="V49" s="11">
        <f aca="true" t="shared" si="11" ref="V49:AU49">SUM(V28:V48)</f>
        <v>10128</v>
      </c>
      <c r="W49" s="11">
        <f t="shared" si="11"/>
        <v>57394</v>
      </c>
      <c r="X49" s="11">
        <f t="shared" si="11"/>
        <v>59519</v>
      </c>
      <c r="Y49" s="11">
        <f t="shared" si="11"/>
        <v>63243</v>
      </c>
      <c r="Z49" s="11">
        <f t="shared" si="11"/>
        <v>58590</v>
      </c>
      <c r="AA49" s="11">
        <f t="shared" si="11"/>
        <v>56866</v>
      </c>
      <c r="AB49" s="11">
        <f t="shared" si="11"/>
        <v>58260</v>
      </c>
      <c r="AC49" s="11">
        <f t="shared" si="11"/>
        <v>61447</v>
      </c>
      <c r="AD49" s="11">
        <f t="shared" si="11"/>
        <v>65113</v>
      </c>
      <c r="AE49" s="11">
        <f t="shared" si="11"/>
        <v>71287</v>
      </c>
      <c r="AF49" s="11">
        <f t="shared" si="11"/>
        <v>74826</v>
      </c>
      <c r="AG49" s="11">
        <f t="shared" si="11"/>
        <v>78207</v>
      </c>
      <c r="AH49" s="11">
        <f t="shared" si="11"/>
        <v>80027</v>
      </c>
      <c r="AI49" s="11">
        <f t="shared" si="11"/>
        <v>77816</v>
      </c>
      <c r="AJ49" s="11">
        <f t="shared" si="11"/>
        <v>71814</v>
      </c>
      <c r="AK49" s="11">
        <f t="shared" si="11"/>
        <v>69451</v>
      </c>
      <c r="AL49" s="11">
        <f t="shared" si="11"/>
        <v>70331</v>
      </c>
      <c r="AM49" s="11">
        <f t="shared" si="11"/>
        <v>71925</v>
      </c>
      <c r="AN49" s="11">
        <f t="shared" si="11"/>
        <v>73229</v>
      </c>
      <c r="AO49" s="11">
        <f t="shared" si="11"/>
        <v>76481</v>
      </c>
      <c r="AP49" s="11">
        <f t="shared" si="11"/>
        <v>76669</v>
      </c>
      <c r="AQ49" s="11">
        <f t="shared" si="11"/>
        <v>79726</v>
      </c>
      <c r="AR49" s="11">
        <f t="shared" si="11"/>
        <v>86418</v>
      </c>
      <c r="AS49" s="11">
        <f t="shared" si="11"/>
        <v>82187</v>
      </c>
      <c r="AT49" s="11">
        <f t="shared" si="11"/>
        <v>86241</v>
      </c>
      <c r="AU49" s="11">
        <f t="shared" si="11"/>
        <v>86742</v>
      </c>
      <c r="AV49" s="11">
        <f>SUM(AV28:AV48)</f>
        <v>10258</v>
      </c>
    </row>
    <row r="50" spans="1:46" ht="12.75" customHeight="1">
      <c r="A50" s="19"/>
      <c r="B50" s="82"/>
      <c r="C50" s="10"/>
      <c r="D50" s="10"/>
      <c r="E50" s="59"/>
      <c r="F50" s="10"/>
      <c r="G50" s="10"/>
      <c r="H50" s="10"/>
      <c r="I50" s="48"/>
      <c r="J50" s="48"/>
      <c r="K50" s="48"/>
      <c r="L50" s="48"/>
      <c r="M50" s="97"/>
      <c r="N50" s="21"/>
      <c r="O50" s="21"/>
      <c r="P50" s="65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8" ht="12.75" customHeight="1" thickBot="1">
      <c r="A51" s="40" t="s">
        <v>49</v>
      </c>
      <c r="B51" s="85">
        <v>0.09205086245280072</v>
      </c>
      <c r="C51" s="41">
        <v>0.0885543370965915</v>
      </c>
      <c r="D51" s="41">
        <v>0.09191240783049823</v>
      </c>
      <c r="E51" s="61">
        <v>0.09087212952765227</v>
      </c>
      <c r="F51" s="41">
        <v>0.09447942732903968</v>
      </c>
      <c r="G51" s="41">
        <v>0.09416665414983152</v>
      </c>
      <c r="H51" s="41">
        <f t="shared" si="7"/>
        <v>0.09454360591206526</v>
      </c>
      <c r="I51" s="41">
        <f t="shared" si="8"/>
        <v>0.10193831352574986</v>
      </c>
      <c r="J51" s="41">
        <f t="shared" si="4"/>
        <v>0.09386608004250539</v>
      </c>
      <c r="K51" s="41">
        <f t="shared" si="9"/>
        <v>0.09761530759408787</v>
      </c>
      <c r="L51" s="41">
        <v>0.09867948277834993</v>
      </c>
      <c r="M51" s="101">
        <f aca="true" t="shared" si="12" ref="M51:AV51">SUM(M24+M49)</f>
        <v>15919</v>
      </c>
      <c r="N51" s="42">
        <f t="shared" si="12"/>
        <v>16417</v>
      </c>
      <c r="O51" s="42">
        <f t="shared" si="12"/>
        <v>17339</v>
      </c>
      <c r="P51" s="68">
        <f t="shared" si="12"/>
        <v>17657</v>
      </c>
      <c r="Q51" s="42">
        <f t="shared" si="12"/>
        <v>18425</v>
      </c>
      <c r="R51" s="42">
        <f t="shared" si="12"/>
        <v>18808</v>
      </c>
      <c r="S51" s="42">
        <f t="shared" si="12"/>
        <v>20271</v>
      </c>
      <c r="T51" s="42">
        <f t="shared" si="12"/>
        <v>20174</v>
      </c>
      <c r="U51" s="42">
        <f t="shared" si="12"/>
        <v>20140</v>
      </c>
      <c r="V51" s="42">
        <f t="shared" si="12"/>
        <v>21253</v>
      </c>
      <c r="W51" s="42">
        <f t="shared" si="12"/>
        <v>172540</v>
      </c>
      <c r="X51" s="42">
        <f t="shared" si="12"/>
        <v>173556</v>
      </c>
      <c r="Y51" s="42">
        <f t="shared" si="12"/>
        <v>176715</v>
      </c>
      <c r="Z51" s="42">
        <f t="shared" si="12"/>
        <v>169762</v>
      </c>
      <c r="AA51" s="42">
        <f t="shared" si="12"/>
        <v>167238</v>
      </c>
      <c r="AB51" s="42">
        <f t="shared" si="12"/>
        <v>168943</v>
      </c>
      <c r="AC51" s="42">
        <f t="shared" si="12"/>
        <v>173358</v>
      </c>
      <c r="AD51" s="42">
        <f t="shared" si="12"/>
        <v>181534</v>
      </c>
      <c r="AE51" s="42">
        <f t="shared" si="12"/>
        <v>192318</v>
      </c>
      <c r="AF51" s="42">
        <f t="shared" si="12"/>
        <v>200117</v>
      </c>
      <c r="AG51" s="42">
        <f t="shared" si="12"/>
        <v>204344</v>
      </c>
      <c r="AH51" s="42">
        <f t="shared" si="12"/>
        <v>202645</v>
      </c>
      <c r="AI51" s="42">
        <f t="shared" si="12"/>
        <v>196934</v>
      </c>
      <c r="AJ51" s="42">
        <f t="shared" si="12"/>
        <v>186395</v>
      </c>
      <c r="AK51" s="42">
        <f t="shared" si="12"/>
        <v>183648</v>
      </c>
      <c r="AL51" s="42">
        <f t="shared" si="12"/>
        <v>184005</v>
      </c>
      <c r="AM51" s="42">
        <f t="shared" si="12"/>
        <v>185389</v>
      </c>
      <c r="AN51" s="42">
        <f t="shared" si="12"/>
        <v>188647</v>
      </c>
      <c r="AO51" s="42">
        <f t="shared" si="12"/>
        <v>194306</v>
      </c>
      <c r="AP51" s="42">
        <f t="shared" si="12"/>
        <v>195016</v>
      </c>
      <c r="AQ51" s="42">
        <f t="shared" si="12"/>
        <v>199731</v>
      </c>
      <c r="AR51" s="42">
        <f t="shared" si="12"/>
        <v>214409</v>
      </c>
      <c r="AS51" s="42">
        <f t="shared" si="12"/>
        <v>197904</v>
      </c>
      <c r="AT51" s="42">
        <f t="shared" si="12"/>
        <v>214561</v>
      </c>
      <c r="AU51" s="42">
        <f t="shared" si="12"/>
        <v>217722</v>
      </c>
      <c r="AV51" s="42">
        <f t="shared" si="12"/>
        <v>21559</v>
      </c>
    </row>
    <row r="52" spans="1:12" ht="12.75" customHeight="1" thickTop="1">
      <c r="A52" s="3" t="s">
        <v>50</v>
      </c>
      <c r="C52" s="14"/>
      <c r="D52" s="14"/>
      <c r="E52" s="14"/>
      <c r="F52" s="14"/>
      <c r="G52" s="14"/>
      <c r="H52" s="14"/>
      <c r="I52" s="49"/>
      <c r="J52" s="49"/>
      <c r="K52" s="49"/>
      <c r="L52" s="49"/>
    </row>
    <row r="53" spans="1:12" ht="12.75" customHeight="1">
      <c r="A53" s="2" t="s">
        <v>51</v>
      </c>
      <c r="C53" s="14"/>
      <c r="D53" s="14"/>
      <c r="E53" s="14"/>
      <c r="F53" s="14"/>
      <c r="G53" s="14"/>
      <c r="H53" s="14"/>
      <c r="I53" s="49"/>
      <c r="J53" s="49"/>
      <c r="K53" s="49"/>
      <c r="L53" s="49"/>
    </row>
    <row r="54" spans="1:12" ht="12.75" customHeight="1">
      <c r="A54" s="3" t="s">
        <v>52</v>
      </c>
      <c r="B54" s="14"/>
      <c r="C54" s="14"/>
      <c r="D54" s="14"/>
      <c r="E54" s="14"/>
      <c r="F54" s="14"/>
      <c r="G54" s="14"/>
      <c r="H54" s="14"/>
      <c r="I54" s="49"/>
      <c r="J54" s="49"/>
      <c r="K54" s="49"/>
      <c r="L54" s="49"/>
    </row>
    <row r="55" spans="1:12" ht="12.75" customHeight="1">
      <c r="A55" s="3"/>
      <c r="B55" s="14"/>
      <c r="C55" s="14"/>
      <c r="D55" s="14"/>
      <c r="E55" s="14"/>
      <c r="F55" s="14"/>
      <c r="G55" s="14"/>
      <c r="H55" s="14"/>
      <c r="I55" s="49"/>
      <c r="J55" s="49"/>
      <c r="K55" s="49"/>
      <c r="L55" s="49"/>
    </row>
    <row r="56" spans="1:12" ht="12.75" customHeight="1">
      <c r="A56" s="2" t="s">
        <v>91</v>
      </c>
      <c r="C56" s="14"/>
      <c r="D56" s="14"/>
      <c r="E56" s="14"/>
      <c r="F56" s="14"/>
      <c r="G56" s="14"/>
      <c r="H56" s="14"/>
      <c r="I56" s="49"/>
      <c r="J56" s="49"/>
      <c r="K56" s="49"/>
      <c r="L56" s="49"/>
    </row>
    <row r="57" spans="1:12" ht="12.75" customHeight="1">
      <c r="A57" s="2" t="s">
        <v>53</v>
      </c>
      <c r="C57" s="14"/>
      <c r="D57" s="14"/>
      <c r="E57" s="14"/>
      <c r="F57" s="14"/>
      <c r="G57" s="14"/>
      <c r="H57" s="14"/>
      <c r="I57" s="49"/>
      <c r="J57" s="49"/>
      <c r="K57" s="49"/>
      <c r="L57" s="49"/>
    </row>
    <row r="58" spans="1:12" ht="12.75" customHeight="1">
      <c r="A58" s="2" t="s">
        <v>97</v>
      </c>
      <c r="C58" s="14"/>
      <c r="D58" s="14"/>
      <c r="E58" s="14"/>
      <c r="F58" s="14"/>
      <c r="G58" s="14"/>
      <c r="H58" s="14"/>
      <c r="I58" s="49"/>
      <c r="J58" s="49"/>
      <c r="K58" s="49"/>
      <c r="L58" s="49"/>
    </row>
    <row r="59" spans="1:48" ht="12.75" customHeight="1" thickBot="1">
      <c r="A59" s="9"/>
      <c r="B59" s="9"/>
      <c r="C59" s="10"/>
      <c r="D59" s="10"/>
      <c r="E59" s="10"/>
      <c r="F59" s="10"/>
      <c r="G59" s="10"/>
      <c r="H59" s="10"/>
      <c r="I59" s="48"/>
      <c r="J59" s="48"/>
      <c r="K59" s="48"/>
      <c r="L59" s="48"/>
      <c r="M59" s="9"/>
      <c r="N59" s="9"/>
      <c r="O59" s="9"/>
      <c r="P59" s="9"/>
      <c r="Q59" s="9"/>
      <c r="R59" s="9"/>
      <c r="S59" s="9"/>
      <c r="T59" s="9"/>
      <c r="U59" s="9"/>
      <c r="V59" s="9"/>
      <c r="AU59" s="9"/>
      <c r="AV59" s="9"/>
    </row>
    <row r="60" spans="1:48" ht="12.75" customHeight="1" thickTop="1">
      <c r="A60" s="18"/>
      <c r="B60" s="25" t="s">
        <v>1</v>
      </c>
      <c r="C60" s="8"/>
      <c r="D60" s="8"/>
      <c r="E60" s="8"/>
      <c r="F60" s="8"/>
      <c r="G60" s="8"/>
      <c r="H60" s="8"/>
      <c r="I60" s="54"/>
      <c r="J60" s="91"/>
      <c r="K60" s="54"/>
      <c r="L60" s="91"/>
      <c r="M60" s="43" t="s">
        <v>2</v>
      </c>
      <c r="N60" s="8"/>
      <c r="O60" s="8"/>
      <c r="P60" s="8"/>
      <c r="Q60" s="8"/>
      <c r="R60" s="8"/>
      <c r="S60" s="8"/>
      <c r="T60" s="8"/>
      <c r="U60" s="8"/>
      <c r="V60" s="8"/>
      <c r="W60" s="22"/>
      <c r="X60" s="22"/>
      <c r="Y60" s="22"/>
      <c r="Z60" s="22"/>
      <c r="AA60" s="5" t="s">
        <v>3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7"/>
      <c r="AU60" s="8"/>
      <c r="AV60" s="8"/>
    </row>
    <row r="61" spans="2:48" ht="12.75" customHeight="1">
      <c r="B61" s="78" t="s">
        <v>4</v>
      </c>
      <c r="C61" s="24" t="s">
        <v>4</v>
      </c>
      <c r="D61" s="24" t="s">
        <v>4</v>
      </c>
      <c r="E61" s="55" t="s">
        <v>4</v>
      </c>
      <c r="F61" s="23" t="s">
        <v>4</v>
      </c>
      <c r="G61" s="23" t="s">
        <v>4</v>
      </c>
      <c r="H61" s="23" t="s">
        <v>4</v>
      </c>
      <c r="I61" s="73" t="s">
        <v>4</v>
      </c>
      <c r="J61" s="73" t="s">
        <v>4</v>
      </c>
      <c r="K61" s="77" t="s">
        <v>4</v>
      </c>
      <c r="L61" s="77" t="s">
        <v>4</v>
      </c>
      <c r="M61" s="93" t="s">
        <v>4</v>
      </c>
      <c r="N61" s="29" t="s">
        <v>4</v>
      </c>
      <c r="O61" s="29" t="s">
        <v>4</v>
      </c>
      <c r="P61" s="62" t="s">
        <v>4</v>
      </c>
      <c r="Q61" s="28" t="s">
        <v>4</v>
      </c>
      <c r="R61" s="28" t="s">
        <v>4</v>
      </c>
      <c r="S61" s="28" t="s">
        <v>4</v>
      </c>
      <c r="T61" s="28" t="s">
        <v>4</v>
      </c>
      <c r="U61" s="28" t="s">
        <v>4</v>
      </c>
      <c r="V61" s="28" t="s">
        <v>4</v>
      </c>
      <c r="W61" s="28" t="s">
        <v>4</v>
      </c>
      <c r="X61" s="28" t="s">
        <v>4</v>
      </c>
      <c r="Y61" s="28" t="s">
        <v>4</v>
      </c>
      <c r="Z61" s="28" t="s">
        <v>4</v>
      </c>
      <c r="AA61" s="28" t="s">
        <v>4</v>
      </c>
      <c r="AB61" s="28" t="s">
        <v>4</v>
      </c>
      <c r="AC61" s="28" t="s">
        <v>4</v>
      </c>
      <c r="AD61" s="28" t="s">
        <v>4</v>
      </c>
      <c r="AE61" s="28" t="s">
        <v>4</v>
      </c>
      <c r="AF61" s="28" t="s">
        <v>4</v>
      </c>
      <c r="AG61" s="28" t="s">
        <v>4</v>
      </c>
      <c r="AH61" s="28" t="s">
        <v>4</v>
      </c>
      <c r="AI61" s="28" t="s">
        <v>4</v>
      </c>
      <c r="AJ61" s="28" t="s">
        <v>4</v>
      </c>
      <c r="AK61" s="28" t="s">
        <v>4</v>
      </c>
      <c r="AL61" s="28" t="s">
        <v>4</v>
      </c>
      <c r="AM61" s="28" t="s">
        <v>4</v>
      </c>
      <c r="AN61" s="28" t="s">
        <v>4</v>
      </c>
      <c r="AO61" s="28" t="s">
        <v>4</v>
      </c>
      <c r="AP61" s="28" t="s">
        <v>4</v>
      </c>
      <c r="AQ61" s="28" t="s">
        <v>4</v>
      </c>
      <c r="AR61" s="28" t="s">
        <v>4</v>
      </c>
      <c r="AS61" s="28" t="s">
        <v>4</v>
      </c>
      <c r="AT61" s="28" t="s">
        <v>4</v>
      </c>
      <c r="AU61" s="28" t="s">
        <v>4</v>
      </c>
      <c r="AV61" s="28" t="s">
        <v>4</v>
      </c>
    </row>
    <row r="62" spans="2:48" ht="12.75" customHeight="1">
      <c r="B62" s="79" t="s">
        <v>5</v>
      </c>
      <c r="C62" s="27" t="s">
        <v>6</v>
      </c>
      <c r="D62" s="26" t="s">
        <v>7</v>
      </c>
      <c r="E62" s="56" t="s">
        <v>8</v>
      </c>
      <c r="F62" s="26">
        <v>2000</v>
      </c>
      <c r="G62" s="26">
        <v>2001</v>
      </c>
      <c r="H62" s="26">
        <v>2002</v>
      </c>
      <c r="I62" s="74">
        <v>2003</v>
      </c>
      <c r="J62" s="74">
        <v>2004</v>
      </c>
      <c r="K62" s="53">
        <v>2005</v>
      </c>
      <c r="L62" s="74">
        <v>2006</v>
      </c>
      <c r="M62" s="94" t="s">
        <v>5</v>
      </c>
      <c r="N62" s="27" t="s">
        <v>6</v>
      </c>
      <c r="O62" s="26" t="s">
        <v>7</v>
      </c>
      <c r="P62" s="56" t="s">
        <v>8</v>
      </c>
      <c r="Q62" s="26">
        <v>2000</v>
      </c>
      <c r="R62" s="26">
        <v>2001</v>
      </c>
      <c r="S62" s="26">
        <v>2002</v>
      </c>
      <c r="T62" s="26">
        <v>2003</v>
      </c>
      <c r="U62" s="26">
        <v>2004</v>
      </c>
      <c r="V62" s="26">
        <v>2005</v>
      </c>
      <c r="W62" s="32" t="s">
        <v>5</v>
      </c>
      <c r="X62" s="32" t="s">
        <v>9</v>
      </c>
      <c r="Y62" s="32" t="s">
        <v>10</v>
      </c>
      <c r="Z62" s="32" t="s">
        <v>11</v>
      </c>
      <c r="AA62" s="32" t="s">
        <v>12</v>
      </c>
      <c r="AB62" s="32" t="s">
        <v>13</v>
      </c>
      <c r="AC62" s="32" t="s">
        <v>14</v>
      </c>
      <c r="AD62" s="32" t="s">
        <v>15</v>
      </c>
      <c r="AE62" s="32" t="s">
        <v>16</v>
      </c>
      <c r="AF62" s="32" t="s">
        <v>17</v>
      </c>
      <c r="AG62" s="13">
        <v>1991</v>
      </c>
      <c r="AH62" s="13">
        <v>1992</v>
      </c>
      <c r="AI62" s="13">
        <v>1993</v>
      </c>
      <c r="AJ62" s="13">
        <v>1994</v>
      </c>
      <c r="AK62" s="13">
        <v>1995</v>
      </c>
      <c r="AL62" s="13">
        <v>1996</v>
      </c>
      <c r="AM62" s="32" t="s">
        <v>6</v>
      </c>
      <c r="AN62" s="31" t="s">
        <v>7</v>
      </c>
      <c r="AO62" s="31" t="s">
        <v>8</v>
      </c>
      <c r="AP62" s="31">
        <v>2000</v>
      </c>
      <c r="AQ62" s="31">
        <v>2001</v>
      </c>
      <c r="AR62" s="39">
        <v>2002</v>
      </c>
      <c r="AU62" s="26">
        <v>2005</v>
      </c>
      <c r="AV62" s="26">
        <v>2006</v>
      </c>
    </row>
    <row r="63" spans="2:48" ht="12.75" customHeight="1">
      <c r="B63" s="80"/>
      <c r="C63" s="6"/>
      <c r="D63" s="6"/>
      <c r="E63" s="69"/>
      <c r="F63" s="6"/>
      <c r="G63" s="6"/>
      <c r="H63" s="6"/>
      <c r="I63" s="75"/>
      <c r="J63" s="75"/>
      <c r="K63" s="48"/>
      <c r="L63" s="75"/>
      <c r="M63" s="95"/>
      <c r="N63" s="15"/>
      <c r="O63" s="15"/>
      <c r="P63" s="63"/>
      <c r="Q63" s="15"/>
      <c r="R63" s="15"/>
      <c r="S63" s="15"/>
      <c r="T63" s="15"/>
      <c r="U63" s="15"/>
      <c r="V63" s="15"/>
      <c r="AQ63" s="15"/>
      <c r="AU63" s="15"/>
      <c r="AV63" s="15"/>
    </row>
    <row r="64" spans="1:16" ht="56.25" customHeight="1">
      <c r="A64" s="12" t="s">
        <v>54</v>
      </c>
      <c r="B64" s="81"/>
      <c r="C64" s="10"/>
      <c r="D64" s="10"/>
      <c r="E64" s="59"/>
      <c r="F64" s="10"/>
      <c r="G64" s="10"/>
      <c r="H64" s="10"/>
      <c r="I64" s="48"/>
      <c r="J64" s="48"/>
      <c r="K64" s="48"/>
      <c r="L64" s="48"/>
      <c r="M64" s="96"/>
      <c r="P64" s="64"/>
    </row>
    <row r="65" spans="1:16" ht="12.75" customHeight="1">
      <c r="A65" s="3"/>
      <c r="B65" s="81"/>
      <c r="C65" s="10"/>
      <c r="D65" s="10"/>
      <c r="E65" s="59"/>
      <c r="F65" s="10"/>
      <c r="G65" s="10"/>
      <c r="H65" s="10"/>
      <c r="I65" s="48"/>
      <c r="J65" s="48"/>
      <c r="K65" s="48"/>
      <c r="L65" s="48"/>
      <c r="M65" s="96"/>
      <c r="P65" s="64"/>
    </row>
    <row r="66" spans="1:48" ht="12.75" customHeight="1">
      <c r="A66" s="3" t="s">
        <v>55</v>
      </c>
      <c r="B66" s="83" t="s">
        <v>56</v>
      </c>
      <c r="C66" s="10">
        <v>0.10740439381611067</v>
      </c>
      <c r="D66" s="10">
        <v>0.12849162011173185</v>
      </c>
      <c r="E66" s="59">
        <v>0.1371994342291372</v>
      </c>
      <c r="F66" s="10">
        <v>0.136986301369863</v>
      </c>
      <c r="G66" s="10">
        <v>0.1372670807453416</v>
      </c>
      <c r="H66" s="10">
        <f>+S66/AR66</f>
        <v>0.15463917525773196</v>
      </c>
      <c r="I66" s="48">
        <f>+T66/AS66</f>
        <v>0.23374340949033393</v>
      </c>
      <c r="J66" s="48">
        <f>+U66/AT66</f>
        <v>0.15446768060836502</v>
      </c>
      <c r="K66" s="48">
        <f>+V66/AU66</f>
        <v>0.15910430170889805</v>
      </c>
      <c r="L66" s="48">
        <v>0.14795008912655971</v>
      </c>
      <c r="M66" s="98" t="s">
        <v>56</v>
      </c>
      <c r="N66" s="21">
        <f>27+105</f>
        <v>132</v>
      </c>
      <c r="O66" s="21">
        <f>35+126</f>
        <v>161</v>
      </c>
      <c r="P66" s="65">
        <f>52+142</f>
        <v>194</v>
      </c>
      <c r="Q66" s="21">
        <v>190</v>
      </c>
      <c r="R66" s="21">
        <f>65+156</f>
        <v>221</v>
      </c>
      <c r="S66" s="21">
        <f>82+188</f>
        <v>270</v>
      </c>
      <c r="T66" s="21">
        <f>89+177</f>
        <v>266</v>
      </c>
      <c r="U66" s="21">
        <f>146+179</f>
        <v>325</v>
      </c>
      <c r="V66" s="21">
        <f>83+187</f>
        <v>270</v>
      </c>
      <c r="W66" s="33" t="s">
        <v>37</v>
      </c>
      <c r="X66" s="13">
        <v>1876</v>
      </c>
      <c r="Y66" s="3" t="s">
        <v>37</v>
      </c>
      <c r="Z66" s="13">
        <v>1667</v>
      </c>
      <c r="AA66" s="3" t="s">
        <v>37</v>
      </c>
      <c r="AB66" s="13">
        <v>1437</v>
      </c>
      <c r="AC66" s="13">
        <v>1428</v>
      </c>
      <c r="AD66" s="13">
        <v>1585</v>
      </c>
      <c r="AE66" s="13">
        <v>1307</v>
      </c>
      <c r="AF66" s="13">
        <f>374+994</f>
        <v>1368</v>
      </c>
      <c r="AG66" s="13">
        <f>351+979</f>
        <v>1330</v>
      </c>
      <c r="AH66" s="13">
        <f>427+982</f>
        <v>1409</v>
      </c>
      <c r="AI66" s="13">
        <f>406+983</f>
        <v>1389</v>
      </c>
      <c r="AJ66" s="13">
        <f>1429-9</f>
        <v>1420</v>
      </c>
      <c r="AK66" s="13">
        <f>377+1027</f>
        <v>1404</v>
      </c>
      <c r="AL66" s="13">
        <f>1275-12</f>
        <v>1263</v>
      </c>
      <c r="AM66" s="13">
        <f>1246-17</f>
        <v>1229</v>
      </c>
      <c r="AN66" s="19">
        <f>1270-17</f>
        <v>1253</v>
      </c>
      <c r="AO66" s="19">
        <f>1438-24</f>
        <v>1414</v>
      </c>
      <c r="AP66" s="19">
        <v>1387</v>
      </c>
      <c r="AQ66" s="19">
        <f>1644-25-9</f>
        <v>1610</v>
      </c>
      <c r="AR66" s="13">
        <v>1746</v>
      </c>
      <c r="AS66" s="13">
        <f>1173-19-16</f>
        <v>1138</v>
      </c>
      <c r="AT66" s="13">
        <v>2104</v>
      </c>
      <c r="AU66" s="13">
        <v>1697</v>
      </c>
      <c r="AV66" s="106">
        <v>249</v>
      </c>
    </row>
    <row r="67" spans="1:48" ht="12.75" customHeight="1" hidden="1">
      <c r="A67" s="3" t="s">
        <v>57</v>
      </c>
      <c r="B67" s="83" t="s">
        <v>56</v>
      </c>
      <c r="C67" s="38" t="s">
        <v>37</v>
      </c>
      <c r="D67" s="38" t="s">
        <v>37</v>
      </c>
      <c r="E67" s="60" t="s">
        <v>37</v>
      </c>
      <c r="F67" s="38" t="s">
        <v>37</v>
      </c>
      <c r="G67" s="38" t="s">
        <v>37</v>
      </c>
      <c r="H67" s="38" t="s">
        <v>37</v>
      </c>
      <c r="I67" s="46" t="s">
        <v>37</v>
      </c>
      <c r="J67" s="76" t="s">
        <v>37</v>
      </c>
      <c r="K67" s="76"/>
      <c r="L67" s="76"/>
      <c r="M67" s="98" t="s">
        <v>56</v>
      </c>
      <c r="N67" s="35" t="s">
        <v>37</v>
      </c>
      <c r="O67" s="35" t="s">
        <v>37</v>
      </c>
      <c r="P67" s="67" t="s">
        <v>37</v>
      </c>
      <c r="Q67" s="38" t="s">
        <v>37</v>
      </c>
      <c r="R67" s="38" t="s">
        <v>37</v>
      </c>
      <c r="S67" s="38" t="s">
        <v>37</v>
      </c>
      <c r="T67" s="38" t="s">
        <v>37</v>
      </c>
      <c r="U67" s="38" t="s">
        <v>37</v>
      </c>
      <c r="V67" s="38" t="s">
        <v>37</v>
      </c>
      <c r="W67" s="38" t="s">
        <v>37</v>
      </c>
      <c r="X67" s="38" t="s">
        <v>37</v>
      </c>
      <c r="Y67" s="38" t="s">
        <v>37</v>
      </c>
      <c r="Z67" s="38" t="s">
        <v>37</v>
      </c>
      <c r="AA67" s="38" t="s">
        <v>37</v>
      </c>
      <c r="AB67" s="38" t="s">
        <v>37</v>
      </c>
      <c r="AC67" s="38" t="s">
        <v>37</v>
      </c>
      <c r="AD67" s="38" t="s">
        <v>37</v>
      </c>
      <c r="AE67" s="38" t="s">
        <v>37</v>
      </c>
      <c r="AF67" s="38" t="s">
        <v>37</v>
      </c>
      <c r="AG67" s="38" t="s">
        <v>37</v>
      </c>
      <c r="AH67" s="38" t="s">
        <v>37</v>
      </c>
      <c r="AI67" s="38" t="s">
        <v>37</v>
      </c>
      <c r="AJ67" s="38" t="s">
        <v>37</v>
      </c>
      <c r="AK67" s="38" t="s">
        <v>37</v>
      </c>
      <c r="AL67" s="38" t="s">
        <v>37</v>
      </c>
      <c r="AM67" s="38" t="s">
        <v>37</v>
      </c>
      <c r="AN67" s="38" t="s">
        <v>37</v>
      </c>
      <c r="AO67" s="38" t="s">
        <v>37</v>
      </c>
      <c r="AP67" s="38" t="s">
        <v>37</v>
      </c>
      <c r="AQ67" s="38" t="s">
        <v>37</v>
      </c>
      <c r="AR67" s="38" t="s">
        <v>37</v>
      </c>
      <c r="AS67" s="38" t="s">
        <v>37</v>
      </c>
      <c r="AT67" s="38" t="s">
        <v>37</v>
      </c>
      <c r="AU67" s="38" t="s">
        <v>37</v>
      </c>
      <c r="AV67" s="38" t="s">
        <v>37</v>
      </c>
    </row>
    <row r="68" spans="1:48" ht="12.75" customHeight="1">
      <c r="A68" s="3" t="s">
        <v>104</v>
      </c>
      <c r="B68" s="83" t="s">
        <v>56</v>
      </c>
      <c r="C68" s="10">
        <v>0.07104247104247104</v>
      </c>
      <c r="D68" s="10">
        <v>0.07661927330173776</v>
      </c>
      <c r="E68" s="59">
        <v>0.08531583264971287</v>
      </c>
      <c r="F68" s="10">
        <v>0.08658008658008658</v>
      </c>
      <c r="G68" s="10">
        <v>0.06440957886044592</v>
      </c>
      <c r="H68" s="10">
        <f aca="true" t="shared" si="13" ref="H68:H92">+S68/AR68</f>
        <v>0.0672082717872969</v>
      </c>
      <c r="I68" s="48">
        <f aca="true" t="shared" si="14" ref="I68:I85">+T68/AS68</f>
        <v>0.03493912122816305</v>
      </c>
      <c r="J68" s="48">
        <f aca="true" t="shared" si="15" ref="J68:J85">+U68/AT68</f>
        <v>0.09102564102564102</v>
      </c>
      <c r="K68" s="48">
        <f aca="true" t="shared" si="16" ref="K68:K92">+V68/AU68</f>
        <v>0.023933402705515087</v>
      </c>
      <c r="L68" s="107">
        <v>0.08085612366230678</v>
      </c>
      <c r="M68" s="98" t="s">
        <v>56</v>
      </c>
      <c r="N68" s="21">
        <f>64+28</f>
        <v>92</v>
      </c>
      <c r="O68" s="21">
        <f>63+34</f>
        <v>97</v>
      </c>
      <c r="P68" s="65">
        <f>76+28</f>
        <v>104</v>
      </c>
      <c r="Q68" s="21">
        <v>100</v>
      </c>
      <c r="R68" s="21">
        <f>51+27</f>
        <v>78</v>
      </c>
      <c r="S68" s="21">
        <f>69+22</f>
        <v>91</v>
      </c>
      <c r="T68" s="21">
        <f>52+14</f>
        <v>66</v>
      </c>
      <c r="U68" s="21">
        <f>56+15</f>
        <v>71</v>
      </c>
      <c r="V68" s="21">
        <f>12+46+11</f>
        <v>69</v>
      </c>
      <c r="W68" s="33" t="s">
        <v>37</v>
      </c>
      <c r="X68" s="13">
        <v>569</v>
      </c>
      <c r="Y68" s="3" t="s">
        <v>37</v>
      </c>
      <c r="Z68" s="13">
        <v>609</v>
      </c>
      <c r="AA68" s="3" t="s">
        <v>37</v>
      </c>
      <c r="AB68" s="13">
        <v>635</v>
      </c>
      <c r="AC68" s="3" t="s">
        <v>37</v>
      </c>
      <c r="AD68" s="13">
        <v>710</v>
      </c>
      <c r="AE68" s="13">
        <v>797</v>
      </c>
      <c r="AF68" s="13">
        <f>407+480</f>
        <v>887</v>
      </c>
      <c r="AG68" s="13">
        <f>410+553</f>
        <v>963</v>
      </c>
      <c r="AH68" s="13">
        <f>453+541</f>
        <v>994</v>
      </c>
      <c r="AI68" s="13">
        <f>462+606</f>
        <v>1068</v>
      </c>
      <c r="AJ68" s="13">
        <f>476+655</f>
        <v>1131</v>
      </c>
      <c r="AK68" s="13">
        <f>1184-9</f>
        <v>1175</v>
      </c>
      <c r="AL68" s="13">
        <f>1177-8</f>
        <v>1169</v>
      </c>
      <c r="AM68" s="13">
        <f>513+782</f>
        <v>1295</v>
      </c>
      <c r="AN68" s="19">
        <f>482+784</f>
        <v>1266</v>
      </c>
      <c r="AO68" s="19">
        <f>1260-41</f>
        <v>1219</v>
      </c>
      <c r="AP68" s="19">
        <v>1155</v>
      </c>
      <c r="AQ68" s="19">
        <f>1279-63-5</f>
        <v>1211</v>
      </c>
      <c r="AR68" s="13">
        <v>1354</v>
      </c>
      <c r="AS68" s="13">
        <f>1960-49-22</f>
        <v>1889</v>
      </c>
      <c r="AT68" s="13">
        <v>780</v>
      </c>
      <c r="AU68" s="13">
        <f>2065+818</f>
        <v>2883</v>
      </c>
      <c r="AV68" s="106">
        <v>68</v>
      </c>
    </row>
    <row r="69" spans="1:48" ht="12.75" customHeight="1">
      <c r="A69" s="3" t="s">
        <v>96</v>
      </c>
      <c r="B69" s="83" t="s">
        <v>56</v>
      </c>
      <c r="C69" s="10"/>
      <c r="D69" s="10"/>
      <c r="E69" s="59"/>
      <c r="F69" s="10"/>
      <c r="G69" s="10"/>
      <c r="H69" s="10" t="s">
        <v>36</v>
      </c>
      <c r="I69" s="48" t="s">
        <v>36</v>
      </c>
      <c r="J69" s="48" t="s">
        <v>36</v>
      </c>
      <c r="K69" s="48" t="s">
        <v>36</v>
      </c>
      <c r="L69" s="107">
        <v>0.007758620689655172</v>
      </c>
      <c r="M69" s="98" t="s">
        <v>56</v>
      </c>
      <c r="N69" s="21"/>
      <c r="O69" s="21"/>
      <c r="P69" s="65"/>
      <c r="Q69" s="21"/>
      <c r="R69" s="21"/>
      <c r="S69" s="21" t="s">
        <v>36</v>
      </c>
      <c r="T69" s="21" t="s">
        <v>36</v>
      </c>
      <c r="U69" s="21" t="s">
        <v>36</v>
      </c>
      <c r="V69" s="21" t="s">
        <v>36</v>
      </c>
      <c r="W69" s="33"/>
      <c r="Y69" s="3"/>
      <c r="AA69" s="3"/>
      <c r="AC69" s="3"/>
      <c r="AN69" s="19"/>
      <c r="AO69" s="19"/>
      <c r="AP69" s="19"/>
      <c r="AQ69" s="19"/>
      <c r="AV69" s="106">
        <v>18</v>
      </c>
    </row>
    <row r="70" spans="1:48" ht="12.75" customHeight="1">
      <c r="A70" s="3" t="s">
        <v>58</v>
      </c>
      <c r="B70" s="89" t="s">
        <v>56</v>
      </c>
      <c r="C70" s="10">
        <v>0.005118362124120281</v>
      </c>
      <c r="D70" s="10">
        <v>0.004098360655737705</v>
      </c>
      <c r="E70" s="59">
        <v>0.0035511363636363635</v>
      </c>
      <c r="F70" s="10">
        <v>0.0049504950495049506</v>
      </c>
      <c r="G70" s="10">
        <v>0.003620564808110065</v>
      </c>
      <c r="H70" s="10">
        <f t="shared" si="13"/>
        <v>0.0029806259314456036</v>
      </c>
      <c r="I70" s="48">
        <f t="shared" si="14"/>
        <v>0.00523168908819133</v>
      </c>
      <c r="J70" s="48">
        <f t="shared" si="15"/>
        <v>0.0066765578635014835</v>
      </c>
      <c r="K70" s="48">
        <f t="shared" si="16"/>
        <v>0.008252063015753939</v>
      </c>
      <c r="L70" s="107">
        <v>0.009665427509293681</v>
      </c>
      <c r="M70" s="102" t="s">
        <v>56</v>
      </c>
      <c r="N70" s="21">
        <v>8</v>
      </c>
      <c r="O70" s="21">
        <v>6</v>
      </c>
      <c r="P70" s="65">
        <v>5</v>
      </c>
      <c r="Q70" s="21">
        <v>7</v>
      </c>
      <c r="R70" s="21">
        <f>3+2</f>
        <v>5</v>
      </c>
      <c r="S70" s="21">
        <v>4</v>
      </c>
      <c r="T70" s="21">
        <v>7</v>
      </c>
      <c r="U70" s="21">
        <v>9</v>
      </c>
      <c r="V70" s="21">
        <v>11</v>
      </c>
      <c r="W70" s="20" t="s">
        <v>37</v>
      </c>
      <c r="X70" s="13">
        <v>1293</v>
      </c>
      <c r="Y70" s="13">
        <v>1311</v>
      </c>
      <c r="Z70" s="13">
        <v>1222</v>
      </c>
      <c r="AA70" s="13">
        <v>1201</v>
      </c>
      <c r="AB70" s="13">
        <v>1390</v>
      </c>
      <c r="AC70" s="13">
        <v>1243</v>
      </c>
      <c r="AD70" s="13">
        <v>1315</v>
      </c>
      <c r="AE70" s="13">
        <v>1434</v>
      </c>
      <c r="AF70" s="13">
        <f>692+820</f>
        <v>1512</v>
      </c>
      <c r="AG70" s="13">
        <v>1571</v>
      </c>
      <c r="AH70" s="13">
        <f>701+815</f>
        <v>1516</v>
      </c>
      <c r="AI70" s="13">
        <f>672+800</f>
        <v>1472</v>
      </c>
      <c r="AJ70" s="13">
        <f>595+676+121+149</f>
        <v>1541</v>
      </c>
      <c r="AK70" s="13">
        <f>690+819</f>
        <v>1509</v>
      </c>
      <c r="AL70" s="13">
        <f>614+677+102+132</f>
        <v>1525</v>
      </c>
      <c r="AM70" s="13">
        <f>703+860</f>
        <v>1563</v>
      </c>
      <c r="AN70" s="19">
        <f>1488-24</f>
        <v>1464</v>
      </c>
      <c r="AO70" s="19">
        <f>1429-21</f>
        <v>1408</v>
      </c>
      <c r="AP70" s="19">
        <v>1414</v>
      </c>
      <c r="AQ70" s="19">
        <f>1395-8-6</f>
        <v>1381</v>
      </c>
      <c r="AR70" s="13">
        <v>1342</v>
      </c>
      <c r="AS70" s="13">
        <f>1347-6-3</f>
        <v>1338</v>
      </c>
      <c r="AT70" s="13">
        <v>1348</v>
      </c>
      <c r="AU70" s="13">
        <v>1333</v>
      </c>
      <c r="AV70" s="106">
        <v>13</v>
      </c>
    </row>
    <row r="71" spans="1:48" ht="12.75" customHeight="1">
      <c r="A71" s="3" t="s">
        <v>59</v>
      </c>
      <c r="B71" s="82">
        <v>0.17168539325842697</v>
      </c>
      <c r="C71" s="10">
        <v>0.12953228197870334</v>
      </c>
      <c r="D71" s="10">
        <v>0.13511488511488512</v>
      </c>
      <c r="E71" s="59">
        <v>0.14057186043582315</v>
      </c>
      <c r="F71" s="10">
        <v>0.14921399594320486</v>
      </c>
      <c r="G71" s="10">
        <v>0.15701691684536573</v>
      </c>
      <c r="H71" s="10">
        <f t="shared" si="13"/>
        <v>0.1613083277517303</v>
      </c>
      <c r="I71" s="48">
        <f t="shared" si="14"/>
        <v>0.18008560945780677</v>
      </c>
      <c r="J71" s="48">
        <f t="shared" si="15"/>
        <v>0.17572841971498593</v>
      </c>
      <c r="K71" s="48">
        <f t="shared" si="16"/>
        <v>0.1757123473541384</v>
      </c>
      <c r="L71" s="107">
        <v>0.1780130293159609</v>
      </c>
      <c r="M71" s="97">
        <v>382</v>
      </c>
      <c r="N71" s="21">
        <f>392+569</f>
        <v>961</v>
      </c>
      <c r="O71" s="21">
        <f>448+634</f>
        <v>1082</v>
      </c>
      <c r="P71" s="65">
        <f>435+681</f>
        <v>1116</v>
      </c>
      <c r="Q71" s="21">
        <v>1177</v>
      </c>
      <c r="R71" s="21">
        <f>494+824</f>
        <v>1318</v>
      </c>
      <c r="S71" s="21">
        <f>566+879</f>
        <v>1445</v>
      </c>
      <c r="T71" s="21">
        <f>685+1082</f>
        <v>1767</v>
      </c>
      <c r="U71" s="21">
        <f>732+1204</f>
        <v>1936</v>
      </c>
      <c r="V71" s="21">
        <f>812+1260</f>
        <v>2072</v>
      </c>
      <c r="W71" s="20">
        <v>2225</v>
      </c>
      <c r="X71" s="13">
        <v>2358</v>
      </c>
      <c r="Y71" s="13">
        <v>2582</v>
      </c>
      <c r="Z71" s="13">
        <v>2745</v>
      </c>
      <c r="AA71" s="3" t="s">
        <v>37</v>
      </c>
      <c r="AB71" s="13">
        <v>3024</v>
      </c>
      <c r="AC71" s="13">
        <v>3322</v>
      </c>
      <c r="AD71" s="13">
        <v>3566</v>
      </c>
      <c r="AE71" s="13">
        <v>3736</v>
      </c>
      <c r="AF71" s="13">
        <f>2035+2185</f>
        <v>4220</v>
      </c>
      <c r="AG71" s="13">
        <f>2239+2633</f>
        <v>4872</v>
      </c>
      <c r="AH71" s="13">
        <f>2487+3076</f>
        <v>5563</v>
      </c>
      <c r="AI71" s="13">
        <f>2777+3228</f>
        <v>6005</v>
      </c>
      <c r="AJ71" s="13">
        <f>(2956+3381)-(114+103)</f>
        <v>6120</v>
      </c>
      <c r="AK71" s="13">
        <f>(2734+3495)-41</f>
        <v>6188</v>
      </c>
      <c r="AL71" s="13">
        <f>(2885+3863)-(12+17)</f>
        <v>6719</v>
      </c>
      <c r="AM71" s="13">
        <f>(3163+4272)-16</f>
        <v>7419</v>
      </c>
      <c r="AN71" s="19">
        <f>8050-42</f>
        <v>8008</v>
      </c>
      <c r="AO71" s="19">
        <f>8002-27-36</f>
        <v>7939</v>
      </c>
      <c r="AP71" s="19">
        <v>7888</v>
      </c>
      <c r="AQ71" s="19">
        <f>8564-91-79</f>
        <v>8394</v>
      </c>
      <c r="AR71" s="13">
        <v>8958</v>
      </c>
      <c r="AS71" s="13">
        <f>10146-195-139</f>
        <v>9812</v>
      </c>
      <c r="AT71" s="13">
        <v>11017</v>
      </c>
      <c r="AU71" s="13">
        <v>11792</v>
      </c>
      <c r="AV71" s="106">
        <v>2186</v>
      </c>
    </row>
    <row r="72" spans="1:48" ht="12.75" customHeight="1">
      <c r="A72" s="3" t="s">
        <v>60</v>
      </c>
      <c r="B72" s="83" t="s">
        <v>56</v>
      </c>
      <c r="C72" s="10">
        <v>0.026156941649899398</v>
      </c>
      <c r="D72" s="10">
        <v>0.015906680805938492</v>
      </c>
      <c r="E72" s="59">
        <v>0.022988505747126436</v>
      </c>
      <c r="F72" s="10">
        <v>0.03532277710109622</v>
      </c>
      <c r="G72" s="10">
        <v>0.06090133982947625</v>
      </c>
      <c r="H72" s="10">
        <f t="shared" si="13"/>
        <v>0.06038647342995169</v>
      </c>
      <c r="I72" s="48">
        <f t="shared" si="14"/>
        <v>0.0718562874251497</v>
      </c>
      <c r="J72" s="48">
        <f t="shared" si="15"/>
        <v>0.06783625730994151</v>
      </c>
      <c r="K72" s="48">
        <f t="shared" si="16"/>
        <v>0.06904761904761905</v>
      </c>
      <c r="L72" s="107">
        <v>0.04948216340621404</v>
      </c>
      <c r="M72" s="98" t="s">
        <v>56</v>
      </c>
      <c r="N72" s="21">
        <v>26</v>
      </c>
      <c r="O72" s="21">
        <v>15</v>
      </c>
      <c r="P72" s="65">
        <v>20</v>
      </c>
      <c r="Q72" s="21">
        <v>29</v>
      </c>
      <c r="R72" s="21">
        <f>44+6</f>
        <v>50</v>
      </c>
      <c r="S72" s="21">
        <v>50</v>
      </c>
      <c r="T72" s="21">
        <v>60</v>
      </c>
      <c r="U72" s="21">
        <f>50+8</f>
        <v>58</v>
      </c>
      <c r="V72" s="21">
        <f>49+9</f>
        <v>58</v>
      </c>
      <c r="W72" s="33" t="s">
        <v>37</v>
      </c>
      <c r="X72" s="13">
        <v>619</v>
      </c>
      <c r="Y72" s="3" t="s">
        <v>37</v>
      </c>
      <c r="Z72" s="13">
        <v>646</v>
      </c>
      <c r="AA72" s="3" t="s">
        <v>37</v>
      </c>
      <c r="AB72" s="13">
        <v>843</v>
      </c>
      <c r="AC72" s="13">
        <v>926</v>
      </c>
      <c r="AD72" s="13">
        <v>1032</v>
      </c>
      <c r="AE72" s="13">
        <v>1067</v>
      </c>
      <c r="AF72" s="13">
        <f>446+683</f>
        <v>1129</v>
      </c>
      <c r="AG72" s="13">
        <f>445+724</f>
        <v>1169</v>
      </c>
      <c r="AH72" s="13">
        <f>417+728</f>
        <v>1145</v>
      </c>
      <c r="AI72" s="13">
        <f>388+716</f>
        <v>1104</v>
      </c>
      <c r="AJ72" s="13">
        <f>362+695</f>
        <v>1057</v>
      </c>
      <c r="AK72" s="13">
        <f>336+665</f>
        <v>1001</v>
      </c>
      <c r="AL72" s="13">
        <f>366+665</f>
        <v>1031</v>
      </c>
      <c r="AM72" s="13">
        <f>376+618</f>
        <v>994</v>
      </c>
      <c r="AN72" s="19">
        <f>364+579</f>
        <v>943</v>
      </c>
      <c r="AO72" s="19">
        <f>368+502</f>
        <v>870</v>
      </c>
      <c r="AP72" s="19">
        <v>821</v>
      </c>
      <c r="AQ72" s="19">
        <v>821</v>
      </c>
      <c r="AR72" s="13">
        <v>828</v>
      </c>
      <c r="AS72" s="13">
        <v>835</v>
      </c>
      <c r="AT72" s="13">
        <v>855</v>
      </c>
      <c r="AU72" s="13">
        <v>840</v>
      </c>
      <c r="AV72" s="106">
        <v>43</v>
      </c>
    </row>
    <row r="73" spans="1:48" ht="12.75" customHeight="1">
      <c r="A73" s="3" t="s">
        <v>61</v>
      </c>
      <c r="B73" s="82">
        <v>0.03442157558552165</v>
      </c>
      <c r="C73" s="10">
        <v>0.02128777923784494</v>
      </c>
      <c r="D73" s="10">
        <v>0.018289541473467286</v>
      </c>
      <c r="E73" s="59">
        <v>0.02550177095631641</v>
      </c>
      <c r="F73" s="10">
        <v>0.02874885004599816</v>
      </c>
      <c r="G73" s="10">
        <v>0.02428099952852428</v>
      </c>
      <c r="H73" s="10">
        <f t="shared" si="13"/>
        <v>0.02618510158013544</v>
      </c>
      <c r="I73" s="48">
        <f t="shared" si="14"/>
        <v>0.025529129391228454</v>
      </c>
      <c r="J73" s="48">
        <f t="shared" si="15"/>
        <v>0.0308953341740227</v>
      </c>
      <c r="K73" s="48">
        <f t="shared" si="16"/>
        <v>0.030303030303030304</v>
      </c>
      <c r="L73" s="107">
        <v>0.030556121409655735</v>
      </c>
      <c r="M73" s="97">
        <v>97</v>
      </c>
      <c r="N73" s="21">
        <f>39+42</f>
        <v>81</v>
      </c>
      <c r="O73" s="21">
        <f>34+37</f>
        <v>71</v>
      </c>
      <c r="P73" s="65">
        <f>53+55</f>
        <v>108</v>
      </c>
      <c r="Q73" s="21">
        <v>125</v>
      </c>
      <c r="R73" s="21">
        <f>47+56</f>
        <v>103</v>
      </c>
      <c r="S73" s="21">
        <f>47+69</f>
        <v>116</v>
      </c>
      <c r="T73" s="21">
        <f>44+73</f>
        <v>117</v>
      </c>
      <c r="U73" s="21">
        <f>54+93</f>
        <v>147</v>
      </c>
      <c r="V73" s="21">
        <f>53+96</f>
        <v>149</v>
      </c>
      <c r="W73" s="20">
        <v>2818</v>
      </c>
      <c r="X73" s="13">
        <v>2532</v>
      </c>
      <c r="Y73" s="13">
        <v>2439</v>
      </c>
      <c r="Z73" s="13">
        <v>2400</v>
      </c>
      <c r="AA73" s="13">
        <v>2577</v>
      </c>
      <c r="AB73" s="13">
        <v>2774</v>
      </c>
      <c r="AC73" s="3">
        <v>2972</v>
      </c>
      <c r="AD73" s="13">
        <v>3156</v>
      </c>
      <c r="AE73" s="13">
        <v>3319</v>
      </c>
      <c r="AF73" s="13">
        <f>1220+2281</f>
        <v>3501</v>
      </c>
      <c r="AG73" s="13">
        <f>1209+2216</f>
        <v>3425</v>
      </c>
      <c r="AH73" s="13">
        <f>1203+2187</f>
        <v>3390</v>
      </c>
      <c r="AI73" s="13">
        <f>1205+2188</f>
        <v>3393</v>
      </c>
      <c r="AJ73" s="13">
        <f>3345-11</f>
        <v>3334</v>
      </c>
      <c r="AK73" s="13">
        <f>3444-26</f>
        <v>3418</v>
      </c>
      <c r="AL73" s="13">
        <f>(1341+2258)-(12)</f>
        <v>3587</v>
      </c>
      <c r="AM73" s="13">
        <f>1393+2412</f>
        <v>3805</v>
      </c>
      <c r="AN73" s="19">
        <f>1405+2477</f>
        <v>3882</v>
      </c>
      <c r="AO73" s="19">
        <f>1561+2674</f>
        <v>4235</v>
      </c>
      <c r="AP73" s="19">
        <v>4348</v>
      </c>
      <c r="AQ73" s="19">
        <f>4243-1-0</f>
        <v>4242</v>
      </c>
      <c r="AR73" s="13">
        <v>4430</v>
      </c>
      <c r="AS73" s="13">
        <v>4583</v>
      </c>
      <c r="AT73" s="13">
        <v>4758</v>
      </c>
      <c r="AU73" s="13">
        <v>4917</v>
      </c>
      <c r="AV73" s="106">
        <v>150</v>
      </c>
    </row>
    <row r="74" spans="1:48" ht="12.75" customHeight="1">
      <c r="A74" s="3" t="s">
        <v>62</v>
      </c>
      <c r="B74" s="82">
        <v>0.013255567338282079</v>
      </c>
      <c r="C74" s="10">
        <v>0.03403465346534654</v>
      </c>
      <c r="D74" s="38" t="s">
        <v>36</v>
      </c>
      <c r="E74" s="59">
        <v>0.05179028132992328</v>
      </c>
      <c r="F74" s="10">
        <v>0.035788024776324846</v>
      </c>
      <c r="G74" s="10">
        <v>0.036817882971729124</v>
      </c>
      <c r="H74" s="10">
        <f t="shared" si="13"/>
        <v>0.030175015087507542</v>
      </c>
      <c r="I74" s="48">
        <f t="shared" si="14"/>
        <v>0.028741865509761388</v>
      </c>
      <c r="J74" s="48">
        <f t="shared" si="15"/>
        <v>0.02592780884595831</v>
      </c>
      <c r="K74" s="48">
        <f t="shared" si="16"/>
        <v>0.03425414364640884</v>
      </c>
      <c r="L74" s="107">
        <v>0.03660662405578152</v>
      </c>
      <c r="M74" s="97">
        <v>25</v>
      </c>
      <c r="N74" s="21">
        <f>34+21</f>
        <v>55</v>
      </c>
      <c r="O74" s="35" t="s">
        <v>36</v>
      </c>
      <c r="P74" s="65">
        <f>57+24</f>
        <v>81</v>
      </c>
      <c r="Q74" s="21">
        <v>52</v>
      </c>
      <c r="R74" s="21">
        <f>36+20</f>
        <v>56</v>
      </c>
      <c r="S74" s="21">
        <f>28+22</f>
        <v>50</v>
      </c>
      <c r="T74" s="21">
        <f>26+27</f>
        <v>53</v>
      </c>
      <c r="U74" s="21">
        <f>28+23</f>
        <v>51</v>
      </c>
      <c r="V74" s="21">
        <f>34+28</f>
        <v>62</v>
      </c>
      <c r="W74" s="20">
        <v>1886</v>
      </c>
      <c r="X74" s="13">
        <v>1809</v>
      </c>
      <c r="Y74" s="3" t="s">
        <v>37</v>
      </c>
      <c r="Z74" s="13">
        <v>1777</v>
      </c>
      <c r="AA74" s="3" t="s">
        <v>37</v>
      </c>
      <c r="AB74" s="13">
        <v>1609</v>
      </c>
      <c r="AC74" s="3" t="s">
        <v>37</v>
      </c>
      <c r="AD74" s="13">
        <v>1564</v>
      </c>
      <c r="AE74" s="13">
        <v>1525</v>
      </c>
      <c r="AF74" s="13">
        <f>660+761+52+67</f>
        <v>1540</v>
      </c>
      <c r="AH74" s="13">
        <v>1420</v>
      </c>
      <c r="AJ74" s="13">
        <f>681+860</f>
        <v>1541</v>
      </c>
      <c r="AK74" s="13">
        <f>714+841</f>
        <v>1555</v>
      </c>
      <c r="AL74" s="13">
        <f>1574-38</f>
        <v>1536</v>
      </c>
      <c r="AM74" s="13">
        <f>704+912</f>
        <v>1616</v>
      </c>
      <c r="AO74" s="19">
        <f>651+913</f>
        <v>1564</v>
      </c>
      <c r="AP74" s="19">
        <v>1453</v>
      </c>
      <c r="AQ74" s="19">
        <v>1521</v>
      </c>
      <c r="AR74" s="13">
        <v>1657</v>
      </c>
      <c r="AS74" s="13">
        <v>1844</v>
      </c>
      <c r="AT74" s="13">
        <v>1967</v>
      </c>
      <c r="AU74" s="13">
        <v>1810</v>
      </c>
      <c r="AV74" s="106">
        <v>63</v>
      </c>
    </row>
    <row r="75" spans="1:48" ht="12.75" customHeight="1">
      <c r="A75" s="3" t="s">
        <v>63</v>
      </c>
      <c r="B75" s="82">
        <v>0.14852607709750568</v>
      </c>
      <c r="C75" s="10">
        <v>0.14118221787982413</v>
      </c>
      <c r="D75" s="10">
        <v>0.15237134207870837</v>
      </c>
      <c r="E75" s="59">
        <v>0.1665057915057915</v>
      </c>
      <c r="F75" s="10">
        <v>0.20632603406326033</v>
      </c>
      <c r="G75" s="10">
        <v>0.2541208791208791</v>
      </c>
      <c r="H75" s="10">
        <f t="shared" si="13"/>
        <v>0.2589590443686007</v>
      </c>
      <c r="I75" s="48">
        <f t="shared" si="14"/>
        <v>0.30976965845909454</v>
      </c>
      <c r="J75" s="48">
        <f t="shared" si="15"/>
        <v>0.321896002829855</v>
      </c>
      <c r="K75" s="48">
        <f t="shared" si="16"/>
        <v>0.3321579689703808</v>
      </c>
      <c r="L75" s="107">
        <v>0.3392612859097127</v>
      </c>
      <c r="M75" s="97">
        <v>131</v>
      </c>
      <c r="N75" s="21">
        <f>97+192</f>
        <v>289</v>
      </c>
      <c r="O75" s="21">
        <f>83+219</f>
        <v>302</v>
      </c>
      <c r="P75" s="65">
        <f>86+259</f>
        <v>345</v>
      </c>
      <c r="Q75" s="21">
        <v>424</v>
      </c>
      <c r="R75" s="21">
        <f>118+437</f>
        <v>555</v>
      </c>
      <c r="S75" s="21">
        <f>105+502</f>
        <v>607</v>
      </c>
      <c r="T75" s="21">
        <f>655+125</f>
        <v>780</v>
      </c>
      <c r="U75" s="21">
        <f>168+742</f>
        <v>910</v>
      </c>
      <c r="V75" s="21">
        <f>169+773</f>
        <v>942</v>
      </c>
      <c r="W75" s="20">
        <v>882</v>
      </c>
      <c r="X75" s="13">
        <v>905</v>
      </c>
      <c r="Y75" s="3" t="s">
        <v>37</v>
      </c>
      <c r="Z75" s="13">
        <v>952</v>
      </c>
      <c r="AA75" s="3" t="s">
        <v>37</v>
      </c>
      <c r="AB75" s="13">
        <v>935</v>
      </c>
      <c r="AC75" s="13">
        <v>998</v>
      </c>
      <c r="AD75" s="13">
        <v>1036</v>
      </c>
      <c r="AE75" s="13">
        <v>1108</v>
      </c>
      <c r="AF75" s="13">
        <f>419+720</f>
        <v>1139</v>
      </c>
      <c r="AG75" s="13">
        <f>414+822</f>
        <v>1236</v>
      </c>
      <c r="AH75" s="13">
        <f>937+1047</f>
        <v>1984</v>
      </c>
      <c r="AI75" s="13">
        <f>650+1127</f>
        <v>1777</v>
      </c>
      <c r="AJ75" s="13">
        <f>1681-7</f>
        <v>1674</v>
      </c>
      <c r="AK75" s="13">
        <f>592+1194</f>
        <v>1786</v>
      </c>
      <c r="AL75" s="13">
        <f>654+1228</f>
        <v>1882</v>
      </c>
      <c r="AM75" s="13">
        <f>2054-7</f>
        <v>2047</v>
      </c>
      <c r="AN75" s="19">
        <f>657+1325</f>
        <v>1982</v>
      </c>
      <c r="AO75" s="19">
        <f>652+1420</f>
        <v>2072</v>
      </c>
      <c r="AP75" s="19">
        <v>2055</v>
      </c>
      <c r="AQ75" s="19">
        <f>2192-8-0</f>
        <v>2184</v>
      </c>
      <c r="AR75" s="13">
        <v>2344</v>
      </c>
      <c r="AS75" s="13">
        <f>2542-20-4</f>
        <v>2518</v>
      </c>
      <c r="AT75" s="13">
        <v>2827</v>
      </c>
      <c r="AU75" s="13">
        <v>2836</v>
      </c>
      <c r="AV75" s="106">
        <v>992</v>
      </c>
    </row>
    <row r="76" spans="1:48" ht="12.75" customHeight="1">
      <c r="A76" s="3" t="s">
        <v>64</v>
      </c>
      <c r="B76" s="83">
        <v>0.027649769585253458</v>
      </c>
      <c r="C76" s="10">
        <v>0.01674418604651163</v>
      </c>
      <c r="D76" s="10">
        <v>0.016831683168316833</v>
      </c>
      <c r="E76" s="59">
        <v>0.008888888888888889</v>
      </c>
      <c r="F76" s="10">
        <v>0.016740088105726872</v>
      </c>
      <c r="G76" s="10">
        <v>0.013901760889712697</v>
      </c>
      <c r="H76" s="10">
        <f t="shared" si="13"/>
        <v>0.01611459265890779</v>
      </c>
      <c r="I76" s="48">
        <f t="shared" si="14"/>
        <v>0.016888888888888887</v>
      </c>
      <c r="J76" s="48">
        <f t="shared" si="15"/>
        <v>0.020618556701030927</v>
      </c>
      <c r="K76" s="48">
        <f t="shared" si="16"/>
        <v>0.021780303030303032</v>
      </c>
      <c r="L76" s="107">
        <v>0.01466544454628781</v>
      </c>
      <c r="M76" s="98">
        <v>12</v>
      </c>
      <c r="N76" s="21">
        <v>18</v>
      </c>
      <c r="O76" s="21">
        <v>17</v>
      </c>
      <c r="P76" s="65">
        <v>10</v>
      </c>
      <c r="Q76" s="21">
        <v>19</v>
      </c>
      <c r="R76" s="21">
        <v>15</v>
      </c>
      <c r="S76" s="21">
        <v>18</v>
      </c>
      <c r="T76" s="21">
        <v>19</v>
      </c>
      <c r="U76" s="21">
        <v>22</v>
      </c>
      <c r="V76" s="21">
        <f>8+15</f>
        <v>23</v>
      </c>
      <c r="W76" s="33">
        <v>434</v>
      </c>
      <c r="X76" s="13">
        <v>507</v>
      </c>
      <c r="Y76" s="13">
        <v>524</v>
      </c>
      <c r="Z76" s="13">
        <v>638</v>
      </c>
      <c r="AA76" s="3" t="s">
        <v>37</v>
      </c>
      <c r="AB76" s="13">
        <v>692</v>
      </c>
      <c r="AC76" s="13">
        <v>726</v>
      </c>
      <c r="AD76" s="13">
        <v>763</v>
      </c>
      <c r="AE76" s="13">
        <v>864</v>
      </c>
      <c r="AF76" s="13">
        <f>326+684</f>
        <v>1010</v>
      </c>
      <c r="AG76" s="13">
        <f>273+522</f>
        <v>795</v>
      </c>
      <c r="AH76" s="13">
        <v>802</v>
      </c>
      <c r="AI76" s="13">
        <f>324+551</f>
        <v>875</v>
      </c>
      <c r="AJ76" s="13">
        <f>311+583</f>
        <v>894</v>
      </c>
      <c r="AK76" s="13">
        <f>332+591</f>
        <v>923</v>
      </c>
      <c r="AL76" s="13">
        <f>327+555</f>
        <v>882</v>
      </c>
      <c r="AM76" s="13">
        <f>1086-11</f>
        <v>1075</v>
      </c>
      <c r="AN76" s="19">
        <f>1026-16</f>
        <v>1010</v>
      </c>
      <c r="AO76" s="19">
        <f>1139-14</f>
        <v>1125</v>
      </c>
      <c r="AP76" s="19">
        <v>1135</v>
      </c>
      <c r="AQ76" s="19">
        <f>1099-12-8</f>
        <v>1079</v>
      </c>
      <c r="AR76" s="13">
        <v>1117</v>
      </c>
      <c r="AS76" s="13">
        <f>1134-9</f>
        <v>1125</v>
      </c>
      <c r="AT76" s="13">
        <v>1067</v>
      </c>
      <c r="AU76" s="13">
        <v>1056</v>
      </c>
      <c r="AV76" s="106">
        <v>16</v>
      </c>
    </row>
    <row r="77" spans="1:48" ht="12.75" customHeight="1">
      <c r="A77" s="3" t="s">
        <v>65</v>
      </c>
      <c r="B77" s="83" t="s">
        <v>56</v>
      </c>
      <c r="C77" s="10">
        <v>0.08325812274368231</v>
      </c>
      <c r="D77" s="10">
        <v>0.09570475396163469</v>
      </c>
      <c r="E77" s="59">
        <v>0.08389978636628471</v>
      </c>
      <c r="F77" s="10">
        <v>0.08952451708766716</v>
      </c>
      <c r="G77" s="10">
        <v>0.10733390854184642</v>
      </c>
      <c r="H77" s="10">
        <f t="shared" si="13"/>
        <v>0.08055915838017005</v>
      </c>
      <c r="I77" s="48">
        <f t="shared" si="14"/>
        <v>0.12978180787758573</v>
      </c>
      <c r="J77" s="48">
        <f t="shared" si="15"/>
        <v>0.1248984329657574</v>
      </c>
      <c r="K77" s="48">
        <f t="shared" si="16"/>
        <v>0.13408990744821508</v>
      </c>
      <c r="L77" s="107">
        <v>0.14519685039370078</v>
      </c>
      <c r="M77" s="98" t="s">
        <v>56</v>
      </c>
      <c r="N77" s="21">
        <f>158+211</f>
        <v>369</v>
      </c>
      <c r="O77" s="21">
        <f>160+299</f>
        <v>459</v>
      </c>
      <c r="P77" s="65">
        <f>150+282</f>
        <v>432</v>
      </c>
      <c r="Q77" s="21">
        <v>482</v>
      </c>
      <c r="R77" s="21">
        <f>220+402</f>
        <v>622</v>
      </c>
      <c r="S77" s="21">
        <f>201+358</f>
        <v>559</v>
      </c>
      <c r="T77" s="21">
        <f>281+635</f>
        <v>916</v>
      </c>
      <c r="U77" s="21">
        <f>311+765</f>
        <v>1076</v>
      </c>
      <c r="V77" s="21">
        <f>330+887</f>
        <v>1217</v>
      </c>
      <c r="W77" s="33" t="s">
        <v>37</v>
      </c>
      <c r="X77" s="13">
        <v>1974</v>
      </c>
      <c r="Y77" s="13">
        <v>1848</v>
      </c>
      <c r="Z77" s="13">
        <v>1755</v>
      </c>
      <c r="AA77" s="3" t="s">
        <v>37</v>
      </c>
      <c r="AB77" s="13">
        <v>1771</v>
      </c>
      <c r="AC77" s="13">
        <v>1563</v>
      </c>
      <c r="AD77" s="13">
        <v>1771</v>
      </c>
      <c r="AE77" s="13">
        <v>2037</v>
      </c>
      <c r="AF77" s="13">
        <f>1078+1353</f>
        <v>2431</v>
      </c>
      <c r="AG77" s="13">
        <f>1130+1504</f>
        <v>2634</v>
      </c>
      <c r="AH77" s="13">
        <f>1326+1499</f>
        <v>2825</v>
      </c>
      <c r="AI77" s="13">
        <f>1305+1832</f>
        <v>3137</v>
      </c>
      <c r="AJ77" s="13">
        <f>3362-(58+49)</f>
        <v>3255</v>
      </c>
      <c r="AK77" s="13">
        <f>3660-134</f>
        <v>3526</v>
      </c>
      <c r="AL77" s="13">
        <f>(1648+2645)-(125+148)</f>
        <v>4020</v>
      </c>
      <c r="AM77" s="13">
        <f>(1743+3045)-(143+213)</f>
        <v>4432</v>
      </c>
      <c r="AN77" s="19">
        <f>5184-149-239</f>
        <v>4796</v>
      </c>
      <c r="AO77" s="19">
        <f>5847-256-442</f>
        <v>5149</v>
      </c>
      <c r="AP77" s="19">
        <v>5384</v>
      </c>
      <c r="AQ77" s="19">
        <f>6446-396-255</f>
        <v>5795</v>
      </c>
      <c r="AR77" s="13">
        <v>6939</v>
      </c>
      <c r="AS77" s="13">
        <f>7838-452-328</f>
        <v>7058</v>
      </c>
      <c r="AT77" s="13">
        <v>8615</v>
      </c>
      <c r="AU77" s="13">
        <v>9076</v>
      </c>
      <c r="AV77" s="106">
        <v>1383</v>
      </c>
    </row>
    <row r="78" spans="1:48" ht="12.75" customHeight="1">
      <c r="A78" s="3" t="s">
        <v>66</v>
      </c>
      <c r="B78" s="82">
        <v>0.07168246445497631</v>
      </c>
      <c r="C78" s="10">
        <v>0.05</v>
      </c>
      <c r="D78" s="10">
        <v>0.052725329533309585</v>
      </c>
      <c r="E78" s="59">
        <v>0.05792903692976104</v>
      </c>
      <c r="F78" s="10">
        <v>0.060941828254847646</v>
      </c>
      <c r="G78" s="10">
        <v>0.060211554109031735</v>
      </c>
      <c r="H78" s="10">
        <f t="shared" si="13"/>
        <v>0.055130168453292494</v>
      </c>
      <c r="I78" s="48">
        <f t="shared" si="14"/>
        <v>0.07260726072607261</v>
      </c>
      <c r="J78" s="48">
        <f t="shared" si="15"/>
        <v>0.05923566878980892</v>
      </c>
      <c r="K78" s="48">
        <f t="shared" si="16"/>
        <v>0.06422587651256594</v>
      </c>
      <c r="L78" s="107">
        <v>0.06900690069006901</v>
      </c>
      <c r="M78" s="97">
        <v>121</v>
      </c>
      <c r="N78" s="21">
        <f>25+113</f>
        <v>138</v>
      </c>
      <c r="O78" s="21">
        <f>28+120</f>
        <v>148</v>
      </c>
      <c r="P78" s="65">
        <f>33+127</f>
        <v>160</v>
      </c>
      <c r="Q78" s="21">
        <v>154</v>
      </c>
      <c r="R78" s="21">
        <f>32+116</f>
        <v>148</v>
      </c>
      <c r="S78" s="21">
        <f>25+155</f>
        <v>180</v>
      </c>
      <c r="T78" s="21">
        <f>172+26</f>
        <v>198</v>
      </c>
      <c r="U78" s="21">
        <f>27+159</f>
        <v>186</v>
      </c>
      <c r="V78" s="21">
        <f>34+173</f>
        <v>207</v>
      </c>
      <c r="W78" s="20">
        <v>1688</v>
      </c>
      <c r="X78" s="13">
        <v>1927</v>
      </c>
      <c r="Y78" s="13">
        <v>2052</v>
      </c>
      <c r="Z78" s="13">
        <v>2247</v>
      </c>
      <c r="AA78" s="13">
        <v>2395</v>
      </c>
      <c r="AB78" s="13">
        <v>2675</v>
      </c>
      <c r="AC78" s="13">
        <v>2853</v>
      </c>
      <c r="AD78" s="13">
        <v>2934</v>
      </c>
      <c r="AE78" s="13">
        <v>3143</v>
      </c>
      <c r="AF78" s="13">
        <f>990+2284</f>
        <v>3274</v>
      </c>
      <c r="AG78" s="13">
        <f>1092+2454</f>
        <v>3546</v>
      </c>
      <c r="AH78" s="13">
        <f>1200+2522</f>
        <v>3722</v>
      </c>
      <c r="AI78" s="13">
        <f>1166+2598</f>
        <v>3764</v>
      </c>
      <c r="AJ78" s="13">
        <v>3425</v>
      </c>
      <c r="AK78" s="13">
        <f>3378-(99+84)</f>
        <v>3195</v>
      </c>
      <c r="AL78" s="13">
        <f>(939+2257)-(286)</f>
        <v>2910</v>
      </c>
      <c r="AM78" s="13">
        <f>(871+2184)-(295)</f>
        <v>2760</v>
      </c>
      <c r="AN78" s="19">
        <f>3057-78-172</f>
        <v>2807</v>
      </c>
      <c r="AO78" s="19">
        <f>3060-92-206</f>
        <v>2762</v>
      </c>
      <c r="AP78" s="19">
        <v>2527</v>
      </c>
      <c r="AQ78" s="19">
        <f>3162-519-185</f>
        <v>2458</v>
      </c>
      <c r="AR78" s="13">
        <v>3265</v>
      </c>
      <c r="AS78" s="13">
        <f>3301-442-132</f>
        <v>2727</v>
      </c>
      <c r="AT78" s="13">
        <v>3140</v>
      </c>
      <c r="AU78" s="13">
        <v>3223</v>
      </c>
      <c r="AV78" s="106">
        <v>230</v>
      </c>
    </row>
    <row r="79" spans="1:48" ht="12.75" customHeight="1">
      <c r="A79" s="3" t="s">
        <v>67</v>
      </c>
      <c r="B79" s="83" t="s">
        <v>56</v>
      </c>
      <c r="C79" s="10">
        <v>0.06594360086767896</v>
      </c>
      <c r="D79" s="10">
        <v>0.07967975600457491</v>
      </c>
      <c r="E79" s="59">
        <v>0.06810162314749471</v>
      </c>
      <c r="F79" s="10">
        <v>0.04145267791636097</v>
      </c>
      <c r="G79" s="10">
        <v>0.052333333333333336</v>
      </c>
      <c r="H79" s="10">
        <f t="shared" si="13"/>
        <v>0.04733542319749216</v>
      </c>
      <c r="I79" s="48">
        <f t="shared" si="14"/>
        <v>0.05963431786216596</v>
      </c>
      <c r="J79" s="48">
        <f t="shared" si="15"/>
        <v>0.06283883686545096</v>
      </c>
      <c r="K79" s="48">
        <f t="shared" si="16"/>
        <v>0.06547085201793722</v>
      </c>
      <c r="L79" s="107">
        <v>0.05475504322766571</v>
      </c>
      <c r="M79" s="98" t="s">
        <v>56</v>
      </c>
      <c r="N79" s="21">
        <f>58+94</f>
        <v>152</v>
      </c>
      <c r="O79" s="21">
        <f>86+123</f>
        <v>209</v>
      </c>
      <c r="P79" s="65">
        <v>193</v>
      </c>
      <c r="Q79" s="21">
        <v>113</v>
      </c>
      <c r="R79" s="21">
        <f>63+94</f>
        <v>157</v>
      </c>
      <c r="S79" s="21">
        <f>71+80</f>
        <v>151</v>
      </c>
      <c r="T79" s="21">
        <f>92+120</f>
        <v>212</v>
      </c>
      <c r="U79" s="21">
        <f>116+139</f>
        <v>255</v>
      </c>
      <c r="V79" s="21">
        <f>126+166</f>
        <v>292</v>
      </c>
      <c r="W79" s="33" t="s">
        <v>37</v>
      </c>
      <c r="X79" s="13">
        <v>406</v>
      </c>
      <c r="Y79" s="3" t="s">
        <v>37</v>
      </c>
      <c r="Z79" s="13">
        <v>476</v>
      </c>
      <c r="AA79" s="13">
        <v>388</v>
      </c>
      <c r="AB79" s="13">
        <v>603</v>
      </c>
      <c r="AC79" s="13">
        <v>867</v>
      </c>
      <c r="AD79" s="13">
        <v>849</v>
      </c>
      <c r="AE79" s="13">
        <v>1032</v>
      </c>
      <c r="AF79" s="13">
        <v>1059</v>
      </c>
      <c r="AG79" s="13">
        <v>1196</v>
      </c>
      <c r="AH79" s="13">
        <f>550+848</f>
        <v>1398</v>
      </c>
      <c r="AI79" s="13">
        <f>661+1091</f>
        <v>1752</v>
      </c>
      <c r="AJ79" s="13">
        <f>(726+1187)-(19+39)</f>
        <v>1855</v>
      </c>
      <c r="AK79" s="13">
        <f>2183-46</f>
        <v>2137</v>
      </c>
      <c r="AL79" s="13">
        <v>2337</v>
      </c>
      <c r="AM79" s="13">
        <f>2395-90</f>
        <v>2305</v>
      </c>
      <c r="AN79" s="19">
        <f>12+8+86+123+4+14+13+22+797+1544</f>
        <v>2623</v>
      </c>
      <c r="AO79" s="19">
        <f>2974-49-91</f>
        <v>2834</v>
      </c>
      <c r="AP79" s="19">
        <v>2726</v>
      </c>
      <c r="AQ79" s="19">
        <f>3105-69-36</f>
        <v>3000</v>
      </c>
      <c r="AR79" s="13">
        <v>3190</v>
      </c>
      <c r="AS79" s="13">
        <f>3656-33-68</f>
        <v>3555</v>
      </c>
      <c r="AT79" s="13">
        <v>4058</v>
      </c>
      <c r="AU79" s="13">
        <v>4460</v>
      </c>
      <c r="AV79" s="106">
        <v>247</v>
      </c>
    </row>
    <row r="80" spans="1:48" ht="12.75" customHeight="1">
      <c r="A80" s="3" t="s">
        <v>68</v>
      </c>
      <c r="B80" s="82">
        <v>0.1950207468879668</v>
      </c>
      <c r="C80" s="10">
        <v>0.1388888888888889</v>
      </c>
      <c r="D80" s="10">
        <v>0.14865749836280287</v>
      </c>
      <c r="E80" s="59">
        <v>0.1337579617834395</v>
      </c>
      <c r="F80" s="10">
        <v>0.1484828921885087</v>
      </c>
      <c r="G80" s="10">
        <v>0.1109701965757768</v>
      </c>
      <c r="H80" s="10">
        <f t="shared" si="13"/>
        <v>0.11</v>
      </c>
      <c r="I80" s="48">
        <f t="shared" si="14"/>
        <v>0.11815384615384615</v>
      </c>
      <c r="J80" s="48">
        <f t="shared" si="15"/>
        <v>0.11732522796352583</v>
      </c>
      <c r="K80" s="48">
        <f t="shared" si="16"/>
        <v>0.13096695226438188</v>
      </c>
      <c r="L80" s="107">
        <v>0.13885429638854296</v>
      </c>
      <c r="M80" s="97">
        <v>94</v>
      </c>
      <c r="N80" s="21">
        <f>152+43</f>
        <v>195</v>
      </c>
      <c r="O80" s="21">
        <f>180+47</f>
        <v>227</v>
      </c>
      <c r="P80" s="65">
        <f>152+58</f>
        <v>210</v>
      </c>
      <c r="Q80" s="21">
        <v>230</v>
      </c>
      <c r="R80" s="21">
        <f>130+45</f>
        <v>175</v>
      </c>
      <c r="S80" s="21">
        <f>134+42</f>
        <v>176</v>
      </c>
      <c r="T80" s="21">
        <f>144+48</f>
        <v>192</v>
      </c>
      <c r="U80" s="21">
        <f>152+41</f>
        <v>193</v>
      </c>
      <c r="V80" s="21">
        <f>169+45</f>
        <v>214</v>
      </c>
      <c r="W80" s="20">
        <v>482</v>
      </c>
      <c r="X80" s="13">
        <v>480</v>
      </c>
      <c r="Y80" s="13">
        <v>408</v>
      </c>
      <c r="Z80" s="13">
        <v>461</v>
      </c>
      <c r="AA80" s="3" t="s">
        <v>37</v>
      </c>
      <c r="AB80" s="13">
        <v>806</v>
      </c>
      <c r="AC80" s="13">
        <v>1296</v>
      </c>
      <c r="AD80" s="13">
        <v>1175</v>
      </c>
      <c r="AE80" s="13">
        <v>1177</v>
      </c>
      <c r="AF80" s="13">
        <f>593+461</f>
        <v>1054</v>
      </c>
      <c r="AG80" s="13">
        <f>653+407</f>
        <v>1060</v>
      </c>
      <c r="AH80" s="13">
        <f>726+469</f>
        <v>1195</v>
      </c>
      <c r="AI80" s="13">
        <f>715+517</f>
        <v>1232</v>
      </c>
      <c r="AJ80" s="13">
        <f>768+529</f>
        <v>1297</v>
      </c>
      <c r="AK80" s="13">
        <f>742+581</f>
        <v>1323</v>
      </c>
      <c r="AL80" s="13">
        <f>810+556</f>
        <v>1366</v>
      </c>
      <c r="AM80" s="13">
        <f>837+567</f>
        <v>1404</v>
      </c>
      <c r="AN80" s="19">
        <f>891+636</f>
        <v>1527</v>
      </c>
      <c r="AO80" s="19">
        <f>894+676</f>
        <v>1570</v>
      </c>
      <c r="AP80" s="19">
        <v>1549</v>
      </c>
      <c r="AQ80" s="19">
        <v>1577</v>
      </c>
      <c r="AR80" s="13">
        <v>1600</v>
      </c>
      <c r="AS80" s="13">
        <v>1625</v>
      </c>
      <c r="AT80" s="13">
        <v>1645</v>
      </c>
      <c r="AU80" s="13">
        <v>1634</v>
      </c>
      <c r="AV80" s="106">
        <v>223</v>
      </c>
    </row>
    <row r="81" spans="1:48" ht="12.75" customHeight="1">
      <c r="A81" s="3" t="s">
        <v>69</v>
      </c>
      <c r="B81" s="82">
        <v>0.17978268027658875</v>
      </c>
      <c r="C81" s="10">
        <v>0.1696066746126341</v>
      </c>
      <c r="D81" s="10">
        <v>0.18298219066464905</v>
      </c>
      <c r="E81" s="59">
        <v>0.19317510922186798</v>
      </c>
      <c r="F81" s="10">
        <v>0.20230929861196414</v>
      </c>
      <c r="G81" s="10">
        <v>0.2069183716515503</v>
      </c>
      <c r="H81" s="10">
        <f t="shared" si="13"/>
        <v>0.2063617504692285</v>
      </c>
      <c r="I81" s="48">
        <f t="shared" si="14"/>
        <v>0.21191439164138862</v>
      </c>
      <c r="J81" s="48">
        <f t="shared" si="15"/>
        <v>0.21031240038253107</v>
      </c>
      <c r="K81" s="48">
        <f t="shared" si="16"/>
        <v>0.21338564853240777</v>
      </c>
      <c r="L81" s="107">
        <v>0.20937642239417387</v>
      </c>
      <c r="M81" s="97">
        <v>546</v>
      </c>
      <c r="N81" s="21">
        <f>709+714</f>
        <v>1423</v>
      </c>
      <c r="O81" s="21">
        <f>770+802</f>
        <v>1572</v>
      </c>
      <c r="P81" s="65">
        <f>820+816</f>
        <v>1636</v>
      </c>
      <c r="Q81" s="21">
        <v>1647</v>
      </c>
      <c r="R81" s="21">
        <f>1019+943</f>
        <v>1962</v>
      </c>
      <c r="S81" s="21">
        <f>975+1114</f>
        <v>2089</v>
      </c>
      <c r="T81" s="21">
        <f>1212+1303</f>
        <v>2515</v>
      </c>
      <c r="U81" s="21">
        <f>1389+1250</f>
        <v>2639</v>
      </c>
      <c r="V81" s="21">
        <f>1337+1491</f>
        <v>2828</v>
      </c>
      <c r="W81" s="20">
        <v>3037</v>
      </c>
      <c r="X81" s="13">
        <v>3189</v>
      </c>
      <c r="Y81" s="3" t="s">
        <v>37</v>
      </c>
      <c r="Z81" s="13">
        <v>3276</v>
      </c>
      <c r="AA81" s="3" t="s">
        <v>37</v>
      </c>
      <c r="AB81" s="13">
        <v>4006</v>
      </c>
      <c r="AC81" s="13">
        <v>4002</v>
      </c>
      <c r="AD81" s="13">
        <v>1592</v>
      </c>
      <c r="AE81" s="13">
        <f>3648+2417</f>
        <v>6065</v>
      </c>
      <c r="AF81" s="13">
        <v>6676</v>
      </c>
      <c r="AG81" s="13">
        <f>4025+2425</f>
        <v>6450</v>
      </c>
      <c r="AH81" s="13">
        <f>(4079+2705)-(158+96)</f>
        <v>6530</v>
      </c>
      <c r="AI81" s="13">
        <f>(4380+2762)-(247+115)</f>
        <v>6780</v>
      </c>
      <c r="AJ81" s="13">
        <f>(4479+3108)-(274+215)</f>
        <v>7098</v>
      </c>
      <c r="AK81" s="13">
        <f>(3625+3049)-(143+225)</f>
        <v>6306</v>
      </c>
      <c r="AL81" s="13">
        <v>6538</v>
      </c>
      <c r="AM81" s="13">
        <f>4603+3787</f>
        <v>8390</v>
      </c>
      <c r="AN81" s="19">
        <f>4596+3995</f>
        <v>8591</v>
      </c>
      <c r="AO81" s="19">
        <f>4456+4013</f>
        <v>8469</v>
      </c>
      <c r="AP81" s="19">
        <v>8141</v>
      </c>
      <c r="AQ81" s="19">
        <f>9482-0</f>
        <v>9482</v>
      </c>
      <c r="AR81" s="13">
        <v>10123</v>
      </c>
      <c r="AS81" s="13">
        <v>11868</v>
      </c>
      <c r="AT81" s="13">
        <v>12548</v>
      </c>
      <c r="AU81" s="13">
        <v>13253</v>
      </c>
      <c r="AV81" s="106">
        <v>2760</v>
      </c>
    </row>
    <row r="82" spans="1:48" ht="12.75" customHeight="1">
      <c r="A82" s="3" t="s">
        <v>70</v>
      </c>
      <c r="B82" s="82">
        <v>0.10457714458926948</v>
      </c>
      <c r="C82" s="10">
        <v>0.06038647342995169</v>
      </c>
      <c r="D82" s="10">
        <v>0.05916305916305916</v>
      </c>
      <c r="E82" s="59">
        <v>0.05915295764788239</v>
      </c>
      <c r="F82" s="10">
        <v>0.08300550747442959</v>
      </c>
      <c r="G82" s="10">
        <v>0.07016191210485737</v>
      </c>
      <c r="H82" s="10">
        <f t="shared" si="13"/>
        <v>0.08885017421602788</v>
      </c>
      <c r="I82" s="48">
        <f t="shared" si="14"/>
        <v>0.08533747090768037</v>
      </c>
      <c r="J82" s="48">
        <f t="shared" si="15"/>
        <v>0.08028933092224232</v>
      </c>
      <c r="K82" s="48">
        <f t="shared" si="16"/>
        <v>0.07269021739130435</v>
      </c>
      <c r="L82" s="107">
        <v>0.053816046966731895</v>
      </c>
      <c r="M82" s="97">
        <v>345</v>
      </c>
      <c r="N82" s="21">
        <f>34+91</f>
        <v>125</v>
      </c>
      <c r="O82" s="21">
        <f>33+90</f>
        <v>123</v>
      </c>
      <c r="P82" s="65">
        <f>54+115</f>
        <v>169</v>
      </c>
      <c r="Q82" s="21">
        <v>211</v>
      </c>
      <c r="R82" s="21">
        <f>49+133</f>
        <v>182</v>
      </c>
      <c r="S82" s="21">
        <f>82+173</f>
        <v>255</v>
      </c>
      <c r="T82" s="21">
        <f>58+162</f>
        <v>220</v>
      </c>
      <c r="U82" s="21">
        <f>58+164</f>
        <v>222</v>
      </c>
      <c r="V82" s="21">
        <f>65+149</f>
        <v>214</v>
      </c>
      <c r="W82" s="20">
        <v>3299</v>
      </c>
      <c r="X82" s="13">
        <v>3183</v>
      </c>
      <c r="Y82" s="13">
        <v>3127</v>
      </c>
      <c r="Z82" s="13">
        <v>2869</v>
      </c>
      <c r="AA82" s="13">
        <v>2888</v>
      </c>
      <c r="AB82" s="13">
        <v>3198</v>
      </c>
      <c r="AC82" s="13">
        <v>3125</v>
      </c>
      <c r="AD82" s="13">
        <v>3125</v>
      </c>
      <c r="AE82" s="13">
        <v>2814</v>
      </c>
      <c r="AF82" s="13">
        <f>1334+1472</f>
        <v>2806</v>
      </c>
      <c r="AG82" s="13">
        <f>1259+1499</f>
        <v>2758</v>
      </c>
      <c r="AH82" s="13">
        <f>1195+1416</f>
        <v>2611</v>
      </c>
      <c r="AI82" s="13">
        <f>1129+1457</f>
        <v>2586</v>
      </c>
      <c r="AJ82" s="13">
        <f>(1136+1522)-(61+89)</f>
        <v>2508</v>
      </c>
      <c r="AK82" s="13">
        <f>(1294+1592)-(98+88)</f>
        <v>2700</v>
      </c>
      <c r="AL82" s="13">
        <v>2386</v>
      </c>
      <c r="AM82" s="13">
        <f>(1257+1535)-(333+389)</f>
        <v>2070</v>
      </c>
      <c r="AN82" s="19">
        <f>2862-385-398</f>
        <v>2079</v>
      </c>
      <c r="AO82" s="19">
        <f>2955-39-59</f>
        <v>2857</v>
      </c>
      <c r="AP82" s="19">
        <v>2542</v>
      </c>
      <c r="AQ82" s="19">
        <f>2730-70-66</f>
        <v>2594</v>
      </c>
      <c r="AR82" s="13">
        <v>2870</v>
      </c>
      <c r="AS82" s="13">
        <f>2765-108-79</f>
        <v>2578</v>
      </c>
      <c r="AT82" s="13">
        <v>2765</v>
      </c>
      <c r="AU82" s="13">
        <v>2944</v>
      </c>
      <c r="AV82" s="106">
        <v>165</v>
      </c>
    </row>
    <row r="83" spans="1:48" ht="12.75" customHeight="1">
      <c r="A83" s="3" t="s">
        <v>71</v>
      </c>
      <c r="B83" s="83" t="s">
        <v>56</v>
      </c>
      <c r="C83" s="10">
        <v>0.07728578796139395</v>
      </c>
      <c r="D83" s="10">
        <v>0.07954966298792682</v>
      </c>
      <c r="E83" s="59">
        <v>0.07993425967428656</v>
      </c>
      <c r="F83" s="10">
        <v>0.07919066383752653</v>
      </c>
      <c r="G83" s="10">
        <v>0.07648019917528981</v>
      </c>
      <c r="H83" s="10">
        <f t="shared" si="13"/>
        <v>0.06812339331619537</v>
      </c>
      <c r="I83" s="48">
        <f t="shared" si="14"/>
        <v>0.06850324101355333</v>
      </c>
      <c r="J83" s="48">
        <f t="shared" si="15"/>
        <v>0.06859577977867895</v>
      </c>
      <c r="K83" s="48">
        <f t="shared" si="16"/>
        <v>0.06929039155418949</v>
      </c>
      <c r="L83" s="107">
        <v>0.06558367456534873</v>
      </c>
      <c r="M83" s="98" t="s">
        <v>56</v>
      </c>
      <c r="N83" s="21">
        <f>301+748</f>
        <v>1049</v>
      </c>
      <c r="O83" s="21">
        <f>277+797</f>
        <v>1074</v>
      </c>
      <c r="P83" s="65">
        <f>286+784</f>
        <v>1070</v>
      </c>
      <c r="Q83" s="21">
        <v>1045</v>
      </c>
      <c r="R83" s="21">
        <f>249+734</f>
        <v>983</v>
      </c>
      <c r="S83" s="21">
        <f>222+732</f>
        <v>954</v>
      </c>
      <c r="T83" s="21">
        <f>229+701</f>
        <v>930</v>
      </c>
      <c r="U83" s="21">
        <f>239+759</f>
        <v>998</v>
      </c>
      <c r="V83" s="21">
        <f>238+799</f>
        <v>1037</v>
      </c>
      <c r="W83" s="33" t="s">
        <v>37</v>
      </c>
      <c r="X83" s="13">
        <v>8727</v>
      </c>
      <c r="Y83" s="3" t="s">
        <v>37</v>
      </c>
      <c r="Z83" s="13">
        <v>8567</v>
      </c>
      <c r="AA83" s="3" t="s">
        <v>37</v>
      </c>
      <c r="AB83" s="13">
        <v>12185</v>
      </c>
      <c r="AC83" s="13">
        <v>12759</v>
      </c>
      <c r="AD83" s="13">
        <v>12935</v>
      </c>
      <c r="AE83" s="13">
        <v>12391</v>
      </c>
      <c r="AF83" s="13">
        <f>5959+6937</f>
        <v>12896</v>
      </c>
      <c r="AG83" s="13">
        <f>7597+7760</f>
        <v>15357</v>
      </c>
      <c r="AH83" s="13">
        <f>7059+7490</f>
        <v>14549</v>
      </c>
      <c r="AI83" s="13">
        <f>5952+7601</f>
        <v>13553</v>
      </c>
      <c r="AJ83" s="13">
        <f>(5977+7754)-(1074+1495)</f>
        <v>11162</v>
      </c>
      <c r="AK83" s="13">
        <f>(5830+7673)-(1392+1948)</f>
        <v>10163</v>
      </c>
      <c r="AL83" s="13">
        <f>(5816+7574)-(283+384)</f>
        <v>12723</v>
      </c>
      <c r="AM83" s="13">
        <f>(6340+7889)-(322+334)</f>
        <v>13573</v>
      </c>
      <c r="AN83" s="19">
        <f>14253-342-410</f>
        <v>13501</v>
      </c>
      <c r="AO83" s="19">
        <f>14062-319-357</f>
        <v>13386</v>
      </c>
      <c r="AP83" s="19">
        <v>13196</v>
      </c>
      <c r="AQ83" s="19">
        <f>13521-363-305</f>
        <v>12853</v>
      </c>
      <c r="AR83" s="13">
        <v>14004</v>
      </c>
      <c r="AS83" s="13">
        <f>14386-446-364</f>
        <v>13576</v>
      </c>
      <c r="AT83" s="13">
        <v>14549</v>
      </c>
      <c r="AU83" s="13">
        <v>14966</v>
      </c>
      <c r="AV83" s="106">
        <v>977</v>
      </c>
    </row>
    <row r="84" spans="1:48" ht="12.75" customHeight="1">
      <c r="A84" s="3" t="s">
        <v>72</v>
      </c>
      <c r="B84" s="83" t="s">
        <v>36</v>
      </c>
      <c r="C84" s="10">
        <v>0.014697236919459141</v>
      </c>
      <c r="D84" s="10">
        <v>0.015147101660355374</v>
      </c>
      <c r="E84" s="59">
        <v>0.013293051359516616</v>
      </c>
      <c r="F84" s="10">
        <v>0.01594248202563301</v>
      </c>
      <c r="G84" s="10">
        <v>0.016314779270633396</v>
      </c>
      <c r="H84" s="10">
        <f t="shared" si="13"/>
        <v>0.015554298642533937</v>
      </c>
      <c r="I84" s="48">
        <f t="shared" si="14"/>
        <v>0.01886108088501995</v>
      </c>
      <c r="J84" s="48">
        <f t="shared" si="15"/>
        <v>0.017706821480406386</v>
      </c>
      <c r="K84" s="48">
        <f t="shared" si="16"/>
        <v>0.019767441860465116</v>
      </c>
      <c r="L84" s="107">
        <v>0.026401741970604246</v>
      </c>
      <c r="M84" s="98" t="s">
        <v>36</v>
      </c>
      <c r="N84" s="21">
        <f>34+16</f>
        <v>50</v>
      </c>
      <c r="O84" s="21">
        <f>36+16</f>
        <v>52</v>
      </c>
      <c r="P84" s="71">
        <v>44</v>
      </c>
      <c r="Q84" s="21">
        <v>51</v>
      </c>
      <c r="R84" s="21">
        <f>9+42</f>
        <v>51</v>
      </c>
      <c r="S84" s="21">
        <v>55</v>
      </c>
      <c r="T84" s="21">
        <f>39+13</f>
        <v>52</v>
      </c>
      <c r="U84" s="21">
        <f>48+13</f>
        <v>61</v>
      </c>
      <c r="V84" s="21">
        <f>51+17</f>
        <v>68</v>
      </c>
      <c r="W84" s="30" t="s">
        <v>36</v>
      </c>
      <c r="X84" s="13">
        <v>1428</v>
      </c>
      <c r="Y84" s="21">
        <v>1610</v>
      </c>
      <c r="Z84" s="13">
        <v>1749</v>
      </c>
      <c r="AA84" s="13">
        <v>1691</v>
      </c>
      <c r="AB84" s="13">
        <v>1872</v>
      </c>
      <c r="AC84" s="13">
        <v>1816</v>
      </c>
      <c r="AD84" s="13">
        <v>1834</v>
      </c>
      <c r="AE84" s="13">
        <f>1043+1877</f>
        <v>2920</v>
      </c>
      <c r="AF84" s="13">
        <f>1044+1910</f>
        <v>2954</v>
      </c>
      <c r="AG84" s="13">
        <f>1045+1876</f>
        <v>2921</v>
      </c>
      <c r="AH84" s="13">
        <f>1069+2018</f>
        <v>3087</v>
      </c>
      <c r="AI84" s="13">
        <f>1042+2094</f>
        <v>3136</v>
      </c>
      <c r="AJ84" s="13">
        <f>(1064+2138)-(195+487)</f>
        <v>2520</v>
      </c>
      <c r="AK84" s="13">
        <f>(1022+2050)-(170+451)</f>
        <v>2451</v>
      </c>
      <c r="AL84" s="13">
        <f>(960+2136)-(146+489)</f>
        <v>2461</v>
      </c>
      <c r="AM84" s="13">
        <f>(1119+2474)-(53+138)</f>
        <v>3402</v>
      </c>
      <c r="AN84" s="19">
        <f>3708-79-196</f>
        <v>3433</v>
      </c>
      <c r="AO84" s="19">
        <f>3634-64-260</f>
        <v>3310</v>
      </c>
      <c r="AP84" s="19">
        <v>3199</v>
      </c>
      <c r="AQ84" s="19">
        <f>3564-88-350</f>
        <v>3126</v>
      </c>
      <c r="AR84" s="13">
        <v>3536</v>
      </c>
      <c r="AS84" s="13">
        <f>3563-603-203</f>
        <v>2757</v>
      </c>
      <c r="AT84" s="13">
        <v>3445</v>
      </c>
      <c r="AU84" s="13">
        <v>3440</v>
      </c>
      <c r="AV84" s="106">
        <v>97</v>
      </c>
    </row>
    <row r="85" spans="1:48" ht="12.75" customHeight="1">
      <c r="A85" s="3" t="s">
        <v>73</v>
      </c>
      <c r="B85" s="83" t="s">
        <v>56</v>
      </c>
      <c r="C85" s="10">
        <v>0.07701863354037267</v>
      </c>
      <c r="D85" s="10">
        <v>0.09253731343283582</v>
      </c>
      <c r="E85" s="59">
        <v>0.08344923504867872</v>
      </c>
      <c r="F85" s="10">
        <v>0.07561929595827901</v>
      </c>
      <c r="G85" s="10">
        <v>0.07587253414264036</v>
      </c>
      <c r="H85" s="10">
        <f t="shared" si="13"/>
        <v>0.08588957055214724</v>
      </c>
      <c r="I85" s="48">
        <f t="shared" si="14"/>
        <v>0.07479674796747968</v>
      </c>
      <c r="J85" s="48">
        <f t="shared" si="15"/>
        <v>0.08085106382978724</v>
      </c>
      <c r="K85" s="48">
        <f t="shared" si="16"/>
        <v>0.06900726392251816</v>
      </c>
      <c r="L85" s="107">
        <v>0.07572614107883817</v>
      </c>
      <c r="M85" s="98" t="s">
        <v>56</v>
      </c>
      <c r="N85" s="21">
        <v>62</v>
      </c>
      <c r="O85" s="21">
        <v>62</v>
      </c>
      <c r="P85" s="65">
        <v>60</v>
      </c>
      <c r="Q85" s="21">
        <v>58</v>
      </c>
      <c r="R85" s="21">
        <f>2+48</f>
        <v>50</v>
      </c>
      <c r="S85" s="21">
        <v>56</v>
      </c>
      <c r="T85" s="21">
        <v>46</v>
      </c>
      <c r="U85" s="21">
        <f>1+56</f>
        <v>57</v>
      </c>
      <c r="V85" s="21">
        <v>57</v>
      </c>
      <c r="W85" s="33" t="s">
        <v>37</v>
      </c>
      <c r="X85" s="13">
        <v>1295</v>
      </c>
      <c r="Y85" s="3" t="s">
        <v>37</v>
      </c>
      <c r="Z85" s="13">
        <v>1094</v>
      </c>
      <c r="AA85" s="3" t="s">
        <v>37</v>
      </c>
      <c r="AB85" s="13">
        <v>1123</v>
      </c>
      <c r="AC85" s="13">
        <v>1144</v>
      </c>
      <c r="AD85" s="13">
        <v>1256</v>
      </c>
      <c r="AE85" s="13">
        <v>1166</v>
      </c>
      <c r="AF85" s="13">
        <f>37+1154</f>
        <v>1191</v>
      </c>
      <c r="AG85" s="13">
        <f>30+1094</f>
        <v>1124</v>
      </c>
      <c r="AH85" s="13">
        <f>34+1011</f>
        <v>1045</v>
      </c>
      <c r="AI85" s="13">
        <f>43+944</f>
        <v>987</v>
      </c>
      <c r="AJ85" s="13">
        <f>42+900</f>
        <v>942</v>
      </c>
      <c r="AK85" s="13">
        <f>43+840</f>
        <v>883</v>
      </c>
      <c r="AL85" s="13">
        <f>901-42</f>
        <v>859</v>
      </c>
      <c r="AM85" s="13">
        <f>819-14</f>
        <v>805</v>
      </c>
      <c r="AN85" s="19">
        <f>773-11-92</f>
        <v>670</v>
      </c>
      <c r="AO85" s="19">
        <f>788-69</f>
        <v>719</v>
      </c>
      <c r="AP85" s="19">
        <v>767</v>
      </c>
      <c r="AQ85" s="19">
        <f>669-9-1</f>
        <v>659</v>
      </c>
      <c r="AR85" s="13">
        <v>652</v>
      </c>
      <c r="AS85" s="13">
        <f>619-4</f>
        <v>615</v>
      </c>
      <c r="AT85" s="13">
        <v>705</v>
      </c>
      <c r="AU85" s="13">
        <v>826</v>
      </c>
      <c r="AV85" s="106">
        <v>73</v>
      </c>
    </row>
    <row r="86" spans="1:48" ht="12.75" customHeight="1" hidden="1">
      <c r="A86" s="3" t="s">
        <v>74</v>
      </c>
      <c r="B86" s="89" t="s">
        <v>56</v>
      </c>
      <c r="C86" s="38" t="s">
        <v>37</v>
      </c>
      <c r="D86" s="38" t="s">
        <v>37</v>
      </c>
      <c r="E86" s="60" t="s">
        <v>37</v>
      </c>
      <c r="F86" s="38" t="s">
        <v>37</v>
      </c>
      <c r="G86" s="38" t="s">
        <v>37</v>
      </c>
      <c r="H86" s="38" t="s">
        <v>37</v>
      </c>
      <c r="I86" s="76" t="s">
        <v>37</v>
      </c>
      <c r="J86" s="76" t="s">
        <v>37</v>
      </c>
      <c r="K86" s="48" t="e">
        <f t="shared" si="16"/>
        <v>#VALUE!</v>
      </c>
      <c r="L86" s="48"/>
      <c r="M86" s="102" t="s">
        <v>56</v>
      </c>
      <c r="N86" s="35" t="s">
        <v>37</v>
      </c>
      <c r="O86" s="35" t="s">
        <v>37</v>
      </c>
      <c r="P86" s="60" t="s">
        <v>37</v>
      </c>
      <c r="Q86" s="38" t="s">
        <v>37</v>
      </c>
      <c r="R86" s="38" t="s">
        <v>37</v>
      </c>
      <c r="S86" s="38" t="s">
        <v>37</v>
      </c>
      <c r="T86" s="38" t="s">
        <v>37</v>
      </c>
      <c r="U86" s="38" t="s">
        <v>37</v>
      </c>
      <c r="V86" s="38" t="s">
        <v>37</v>
      </c>
      <c r="W86" s="38" t="s">
        <v>37</v>
      </c>
      <c r="X86" s="38" t="s">
        <v>37</v>
      </c>
      <c r="Y86" s="38" t="s">
        <v>37</v>
      </c>
      <c r="Z86" s="38" t="s">
        <v>37</v>
      </c>
      <c r="AA86" s="38" t="s">
        <v>37</v>
      </c>
      <c r="AB86" s="38" t="s">
        <v>37</v>
      </c>
      <c r="AC86" s="38" t="s">
        <v>37</v>
      </c>
      <c r="AD86" s="38" t="s">
        <v>37</v>
      </c>
      <c r="AE86" s="38" t="s">
        <v>37</v>
      </c>
      <c r="AF86" s="38" t="s">
        <v>37</v>
      </c>
      <c r="AG86" s="38" t="s">
        <v>37</v>
      </c>
      <c r="AH86" s="38" t="s">
        <v>37</v>
      </c>
      <c r="AI86" s="38" t="s">
        <v>37</v>
      </c>
      <c r="AJ86" s="38" t="s">
        <v>37</v>
      </c>
      <c r="AK86" s="38" t="s">
        <v>37</v>
      </c>
      <c r="AL86" s="38" t="s">
        <v>37</v>
      </c>
      <c r="AM86" s="38" t="s">
        <v>37</v>
      </c>
      <c r="AN86" s="38" t="s">
        <v>37</v>
      </c>
      <c r="AO86" s="38" t="s">
        <v>37</v>
      </c>
      <c r="AP86" s="38" t="s">
        <v>37</v>
      </c>
      <c r="AQ86" s="38" t="s">
        <v>37</v>
      </c>
      <c r="AR86" s="38" t="s">
        <v>37</v>
      </c>
      <c r="AS86" s="38" t="s">
        <v>37</v>
      </c>
      <c r="AT86" s="38" t="s">
        <v>37</v>
      </c>
      <c r="AU86" s="38" t="s">
        <v>37</v>
      </c>
      <c r="AV86" s="38" t="s">
        <v>37</v>
      </c>
    </row>
    <row r="87" spans="1:48" ht="12.75" customHeight="1">
      <c r="A87" s="3" t="s">
        <v>75</v>
      </c>
      <c r="B87" s="83" t="s">
        <v>56</v>
      </c>
      <c r="C87" s="10">
        <v>0.05834669517192232</v>
      </c>
      <c r="D87" s="10">
        <v>0.05708117443868739</v>
      </c>
      <c r="E87" s="59">
        <v>0.06061916291940505</v>
      </c>
      <c r="F87" s="10">
        <v>0.06398887150060859</v>
      </c>
      <c r="G87" s="10">
        <v>0.06834407104300888</v>
      </c>
      <c r="H87" s="10">
        <f t="shared" si="13"/>
        <v>0.06900603117412078</v>
      </c>
      <c r="I87" s="48">
        <f aca="true" t="shared" si="17" ref="I87:J92">+T87/AS87</f>
        <v>0.07469700717289142</v>
      </c>
      <c r="J87" s="48">
        <f t="shared" si="17"/>
        <v>0.07236941710825133</v>
      </c>
      <c r="K87" s="48">
        <f t="shared" si="16"/>
        <v>0.06949114548307554</v>
      </c>
      <c r="L87" s="48">
        <v>0.07090977162111568</v>
      </c>
      <c r="M87" s="98" t="s">
        <v>56</v>
      </c>
      <c r="N87" s="13">
        <f>265+390</f>
        <v>655</v>
      </c>
      <c r="O87" s="19">
        <f>267+394</f>
        <v>661</v>
      </c>
      <c r="P87" s="71">
        <f>270+431</f>
        <v>701</v>
      </c>
      <c r="Q87" s="19">
        <v>736</v>
      </c>
      <c r="R87" s="19">
        <f>302+483</f>
        <v>785</v>
      </c>
      <c r="S87" s="11">
        <f>321+560</f>
        <v>881</v>
      </c>
      <c r="T87" s="11">
        <f>329+577</f>
        <v>906</v>
      </c>
      <c r="U87" s="11">
        <f>347+609</f>
        <v>956</v>
      </c>
      <c r="V87" s="11">
        <f>353+577</f>
        <v>930</v>
      </c>
      <c r="W87" s="33" t="s">
        <v>37</v>
      </c>
      <c r="X87" s="13">
        <v>10700</v>
      </c>
      <c r="Y87" s="3" t="s">
        <v>37</v>
      </c>
      <c r="Z87" s="13">
        <v>10610</v>
      </c>
      <c r="AA87" s="3" t="s">
        <v>37</v>
      </c>
      <c r="AB87" s="13">
        <v>10481</v>
      </c>
      <c r="AC87" s="13">
        <v>10647</v>
      </c>
      <c r="AD87" s="13">
        <v>11498</v>
      </c>
      <c r="AE87" s="13">
        <v>11556</v>
      </c>
      <c r="AF87" s="13">
        <f>6656+5334</f>
        <v>11990</v>
      </c>
      <c r="AG87" s="13">
        <f>6427+5246</f>
        <v>11673</v>
      </c>
      <c r="AH87" s="13">
        <f>6331+5241</f>
        <v>11572</v>
      </c>
      <c r="AI87" s="13">
        <f>6245+5426</f>
        <v>11671</v>
      </c>
      <c r="AJ87" s="13">
        <f>11655-196</f>
        <v>11459</v>
      </c>
      <c r="AK87" s="13">
        <f>11482-169</f>
        <v>11313</v>
      </c>
      <c r="AL87" s="13">
        <f>(5911+5726)-(116+145)</f>
        <v>11376</v>
      </c>
      <c r="AM87" s="13">
        <f>(5861+5745)-(171+209)</f>
        <v>11226</v>
      </c>
      <c r="AN87" s="19">
        <f>12035-211-244</f>
        <v>11580</v>
      </c>
      <c r="AO87" s="19">
        <f>12088-234-290</f>
        <v>11564</v>
      </c>
      <c r="AP87" s="19">
        <v>11502</v>
      </c>
      <c r="AQ87" s="19">
        <f>12187-382-319</f>
        <v>11486</v>
      </c>
      <c r="AR87" s="13">
        <v>12767</v>
      </c>
      <c r="AS87" s="13">
        <f>13020-440-451</f>
        <v>12129</v>
      </c>
      <c r="AT87" s="13">
        <v>13210</v>
      </c>
      <c r="AU87" s="13">
        <v>13383</v>
      </c>
      <c r="AV87" s="106">
        <v>947</v>
      </c>
    </row>
    <row r="88" spans="1:48" ht="12.75" customHeight="1">
      <c r="A88" s="3" t="s">
        <v>76</v>
      </c>
      <c r="B88" s="82">
        <v>0.1303538175046555</v>
      </c>
      <c r="C88" s="10">
        <v>0.17977626289110296</v>
      </c>
      <c r="D88" s="10">
        <v>0.1939857465670085</v>
      </c>
      <c r="E88" s="59">
        <v>0.20891049007695423</v>
      </c>
      <c r="F88" s="10">
        <v>0.23230780975646995</v>
      </c>
      <c r="G88" s="10">
        <v>0.2574156154108421</v>
      </c>
      <c r="H88" s="10">
        <f t="shared" si="13"/>
        <v>0.27149399965215376</v>
      </c>
      <c r="I88" s="48">
        <f t="shared" si="17"/>
        <v>0.30307551067248106</v>
      </c>
      <c r="J88" s="48">
        <f t="shared" si="17"/>
        <v>0.2953041285849354</v>
      </c>
      <c r="K88" s="48">
        <f t="shared" si="16"/>
        <v>0.3016243820285761</v>
      </c>
      <c r="L88" s="48">
        <v>0.3047513579075041</v>
      </c>
      <c r="M88" s="97">
        <v>630</v>
      </c>
      <c r="N88" s="21">
        <f>754+1303</f>
        <v>2057</v>
      </c>
      <c r="O88" s="21">
        <f>760+1472</f>
        <v>2232</v>
      </c>
      <c r="P88" s="65">
        <f>844+1735</f>
        <v>2579</v>
      </c>
      <c r="Q88" s="21">
        <v>3043</v>
      </c>
      <c r="R88" s="21">
        <f>1175+2600</f>
        <v>3775</v>
      </c>
      <c r="S88" s="21">
        <f>1432+3251</f>
        <v>4683</v>
      </c>
      <c r="T88" s="21">
        <f>1637+3645</f>
        <v>5282</v>
      </c>
      <c r="U88" s="21">
        <f>1726+3896</f>
        <v>5622</v>
      </c>
      <c r="V88" s="21">
        <f>1588+3964</f>
        <v>5552</v>
      </c>
      <c r="W88" s="20">
        <v>4833</v>
      </c>
      <c r="X88" s="13">
        <v>4952</v>
      </c>
      <c r="Y88" s="13">
        <v>5093</v>
      </c>
      <c r="Z88" s="13">
        <v>5354</v>
      </c>
      <c r="AA88" s="13">
        <v>5792</v>
      </c>
      <c r="AB88" s="13">
        <v>6645</v>
      </c>
      <c r="AC88" s="13">
        <v>7550</v>
      </c>
      <c r="AD88" s="13">
        <v>8120</v>
      </c>
      <c r="AE88" s="13">
        <v>8317</v>
      </c>
      <c r="AF88" s="13">
        <f>4039+4706</f>
        <v>8745</v>
      </c>
      <c r="AG88" s="13">
        <f>4361+4846</f>
        <v>9207</v>
      </c>
      <c r="AH88" s="13">
        <f>4641+5058</f>
        <v>9699</v>
      </c>
      <c r="AI88" s="13">
        <f>4600+5194</f>
        <v>9794</v>
      </c>
      <c r="AJ88" s="13">
        <f>4729+5406</f>
        <v>10135</v>
      </c>
      <c r="AK88" s="13">
        <f>(4791+5869)-(52+66)</f>
        <v>10542</v>
      </c>
      <c r="AL88" s="13">
        <f>(4914+6487)-(105+166)</f>
        <v>11130</v>
      </c>
      <c r="AM88" s="13">
        <f>(5146+6610)-(147+167)</f>
        <v>11442</v>
      </c>
      <c r="AN88" s="19">
        <f>11853-134-213</f>
        <v>11506</v>
      </c>
      <c r="AO88" s="19">
        <f>12826-481</f>
        <v>12345</v>
      </c>
      <c r="AP88" s="19">
        <v>13099</v>
      </c>
      <c r="AQ88" s="19">
        <f>15402-420-317</f>
        <v>14665</v>
      </c>
      <c r="AR88" s="13">
        <v>17249</v>
      </c>
      <c r="AS88" s="13">
        <f>18740-762-550</f>
        <v>17428</v>
      </c>
      <c r="AT88" s="13">
        <v>19038</v>
      </c>
      <c r="AU88" s="13">
        <v>18407</v>
      </c>
      <c r="AV88" s="106">
        <v>5779</v>
      </c>
    </row>
    <row r="89" spans="1:48" ht="12.75" customHeight="1">
      <c r="A89" s="3" t="s">
        <v>77</v>
      </c>
      <c r="B89" s="82">
        <v>0.034139402560455195</v>
      </c>
      <c r="C89" s="10">
        <v>0.022935779816513763</v>
      </c>
      <c r="D89" s="10">
        <v>0.009776536312849162</v>
      </c>
      <c r="E89" s="59">
        <v>0.018950437317784258</v>
      </c>
      <c r="F89" s="10">
        <v>0.02046783625730994</v>
      </c>
      <c r="G89" s="10">
        <v>0.01955671447196871</v>
      </c>
      <c r="H89" s="10">
        <f t="shared" si="13"/>
        <v>0.025412960609911054</v>
      </c>
      <c r="I89" s="48">
        <f t="shared" si="17"/>
        <v>0.03504380475594493</v>
      </c>
      <c r="J89" s="48">
        <f t="shared" si="17"/>
        <v>0.047619047619047616</v>
      </c>
      <c r="K89" s="48">
        <f t="shared" si="16"/>
        <v>0.042483660130718956</v>
      </c>
      <c r="L89" s="48">
        <v>0.043933054393305436</v>
      </c>
      <c r="M89" s="97">
        <v>24</v>
      </c>
      <c r="N89" s="21">
        <v>15</v>
      </c>
      <c r="O89" s="21">
        <v>7</v>
      </c>
      <c r="P89" s="65">
        <v>13</v>
      </c>
      <c r="Q89" s="21">
        <v>14</v>
      </c>
      <c r="R89" s="21">
        <f>13+2</f>
        <v>15</v>
      </c>
      <c r="S89" s="21">
        <v>20</v>
      </c>
      <c r="T89" s="21">
        <v>28</v>
      </c>
      <c r="U89" s="21">
        <f>16+25</f>
        <v>41</v>
      </c>
      <c r="V89" s="21">
        <f>24+15</f>
        <v>39</v>
      </c>
      <c r="W89" s="20">
        <v>703</v>
      </c>
      <c r="X89" s="13">
        <v>687</v>
      </c>
      <c r="Y89" s="13">
        <v>675</v>
      </c>
      <c r="Z89" s="13">
        <v>615</v>
      </c>
      <c r="AA89" s="13">
        <v>612</v>
      </c>
      <c r="AB89" s="13">
        <v>632</v>
      </c>
      <c r="AC89" s="13">
        <v>679</v>
      </c>
      <c r="AD89" s="13">
        <v>689</v>
      </c>
      <c r="AE89" s="13">
        <v>734</v>
      </c>
      <c r="AF89" s="13">
        <f>517+267</f>
        <v>784</v>
      </c>
      <c r="AG89" s="13">
        <f>469+272</f>
        <v>741</v>
      </c>
      <c r="AH89" s="13">
        <f>443+289</f>
        <v>732</v>
      </c>
      <c r="AI89" s="13">
        <f>418+284</f>
        <v>702</v>
      </c>
      <c r="AJ89" s="13">
        <f>386+281</f>
        <v>667</v>
      </c>
      <c r="AK89" s="13">
        <f>352+244</f>
        <v>596</v>
      </c>
      <c r="AL89" s="13">
        <f>398+264</f>
        <v>662</v>
      </c>
      <c r="AM89" s="13">
        <f>387+267</f>
        <v>654</v>
      </c>
      <c r="AN89" s="19">
        <f>407+309</f>
        <v>716</v>
      </c>
      <c r="AO89" s="19">
        <f>393+286+7</f>
        <v>686</v>
      </c>
      <c r="AP89" s="19">
        <v>684</v>
      </c>
      <c r="AQ89" s="19">
        <f>770-1-2</f>
        <v>767</v>
      </c>
      <c r="AR89" s="13">
        <v>787</v>
      </c>
      <c r="AS89" s="13">
        <f>821-15-7</f>
        <v>799</v>
      </c>
      <c r="AT89" s="13">
        <v>861</v>
      </c>
      <c r="AU89" s="13">
        <v>918</v>
      </c>
      <c r="AV89" s="106">
        <v>42</v>
      </c>
    </row>
    <row r="90" spans="1:48" ht="12.75" customHeight="1">
      <c r="A90" s="3" t="s">
        <v>78</v>
      </c>
      <c r="B90" s="82">
        <v>0.029782359679266894</v>
      </c>
      <c r="C90" s="10">
        <v>0.030961791831357048</v>
      </c>
      <c r="D90" s="10">
        <v>0.02515295717199184</v>
      </c>
      <c r="E90" s="59">
        <v>0.02540106951871658</v>
      </c>
      <c r="F90" s="10">
        <v>0.024339360222531293</v>
      </c>
      <c r="G90" s="10">
        <v>0.02641232575201761</v>
      </c>
      <c r="H90" s="10">
        <f t="shared" si="13"/>
        <v>0.021678321678321677</v>
      </c>
      <c r="I90" s="48">
        <f t="shared" si="17"/>
        <v>0.03468979319546364</v>
      </c>
      <c r="J90" s="48">
        <f t="shared" si="17"/>
        <v>0.037227214377406934</v>
      </c>
      <c r="K90" s="48">
        <f t="shared" si="16"/>
        <v>0.04342273307790549</v>
      </c>
      <c r="L90" s="48">
        <v>0.045584045584045586</v>
      </c>
      <c r="M90" s="97">
        <v>52</v>
      </c>
      <c r="N90" s="21">
        <f>29+18</f>
        <v>47</v>
      </c>
      <c r="O90" s="21">
        <f>17+20</f>
        <v>37</v>
      </c>
      <c r="P90" s="65">
        <f>22+16</f>
        <v>38</v>
      </c>
      <c r="Q90" s="21">
        <v>35</v>
      </c>
      <c r="R90" s="21">
        <f>17+19</f>
        <v>36</v>
      </c>
      <c r="S90" s="21">
        <f>17+14</f>
        <v>31</v>
      </c>
      <c r="T90" s="21">
        <f>29+23</f>
        <v>52</v>
      </c>
      <c r="U90" s="21">
        <f>35+23</f>
        <v>58</v>
      </c>
      <c r="V90" s="21">
        <v>68</v>
      </c>
      <c r="W90" s="20">
        <v>1746</v>
      </c>
      <c r="X90" s="13">
        <v>1569</v>
      </c>
      <c r="Y90" s="3" t="s">
        <v>37</v>
      </c>
      <c r="Z90" s="13">
        <v>1991</v>
      </c>
      <c r="AA90" s="3" t="s">
        <v>37</v>
      </c>
      <c r="AB90" s="13">
        <v>2061</v>
      </c>
      <c r="AC90" s="13">
        <v>1454</v>
      </c>
      <c r="AD90" s="13">
        <v>1984</v>
      </c>
      <c r="AE90" s="13">
        <v>1968</v>
      </c>
      <c r="AF90" s="13">
        <f>865+1191</f>
        <v>2056</v>
      </c>
      <c r="AG90" s="13">
        <f>792+1145</f>
        <v>1937</v>
      </c>
      <c r="AH90" s="13">
        <f>773+1107</f>
        <v>1880</v>
      </c>
      <c r="AI90" s="13">
        <f>736+1049</f>
        <v>1785</v>
      </c>
      <c r="AJ90" s="13">
        <f>724+1011</f>
        <v>1735</v>
      </c>
      <c r="AK90" s="13">
        <f>638+966</f>
        <v>1604</v>
      </c>
      <c r="AL90" s="13">
        <f>599+960</f>
        <v>1559</v>
      </c>
      <c r="AM90" s="13">
        <f>605+913</f>
        <v>1518</v>
      </c>
      <c r="AN90" s="19">
        <f>564+907</f>
        <v>1471</v>
      </c>
      <c r="AO90" s="19">
        <f>1500-4</f>
        <v>1496</v>
      </c>
      <c r="AP90" s="19">
        <v>1438</v>
      </c>
      <c r="AQ90" s="19">
        <f>1369-3-3</f>
        <v>1363</v>
      </c>
      <c r="AR90" s="13">
        <v>1430</v>
      </c>
      <c r="AS90" s="13">
        <f>1536-18-19</f>
        <v>1499</v>
      </c>
      <c r="AT90" s="13">
        <v>1558</v>
      </c>
      <c r="AU90" s="13">
        <v>1566</v>
      </c>
      <c r="AV90" s="106">
        <v>64</v>
      </c>
    </row>
    <row r="91" spans="1:48" ht="12.75" customHeight="1">
      <c r="A91" s="3" t="s">
        <v>79</v>
      </c>
      <c r="B91" s="83" t="s">
        <v>56</v>
      </c>
      <c r="C91" s="10">
        <v>0.029079159935379646</v>
      </c>
      <c r="D91" s="10">
        <v>0.028256374913852515</v>
      </c>
      <c r="E91" s="59">
        <v>0.03051643192488263</v>
      </c>
      <c r="F91" s="10">
        <v>0.03581267217630854</v>
      </c>
      <c r="G91" s="10">
        <v>0.034334763948497854</v>
      </c>
      <c r="H91" s="10">
        <f t="shared" si="13"/>
        <v>0.028130170987313845</v>
      </c>
      <c r="I91" s="48">
        <f t="shared" si="17"/>
        <v>0.029707955689828803</v>
      </c>
      <c r="J91" s="48">
        <f t="shared" si="17"/>
        <v>0.026928343222272933</v>
      </c>
      <c r="K91" s="48">
        <f t="shared" si="16"/>
        <v>0.02871556072953046</v>
      </c>
      <c r="L91" s="48">
        <v>0.02339688041594454</v>
      </c>
      <c r="M91" s="98" t="s">
        <v>56</v>
      </c>
      <c r="N91" s="21">
        <f>8+28</f>
        <v>36</v>
      </c>
      <c r="O91" s="21">
        <f>9+32</f>
        <v>41</v>
      </c>
      <c r="P91" s="65">
        <f>12+27</f>
        <v>39</v>
      </c>
      <c r="Q91" s="21">
        <v>52</v>
      </c>
      <c r="R91" s="21">
        <f>15+41</f>
        <v>56</v>
      </c>
      <c r="S91" s="21">
        <v>51</v>
      </c>
      <c r="T91" s="21">
        <f>18+41</f>
        <v>59</v>
      </c>
      <c r="U91" s="21">
        <f>13+46</f>
        <v>59</v>
      </c>
      <c r="V91" s="21">
        <f>15+59</f>
        <v>74</v>
      </c>
      <c r="W91" s="30" t="s">
        <v>37</v>
      </c>
      <c r="X91" s="13">
        <v>793</v>
      </c>
      <c r="Y91" s="13">
        <v>774</v>
      </c>
      <c r="Z91" s="13">
        <v>781</v>
      </c>
      <c r="AA91" s="3" t="s">
        <v>37</v>
      </c>
      <c r="AB91" s="13">
        <v>738</v>
      </c>
      <c r="AC91" s="13">
        <v>719</v>
      </c>
      <c r="AD91" s="13">
        <v>760</v>
      </c>
      <c r="AE91" s="13">
        <v>741</v>
      </c>
      <c r="AF91" s="13">
        <v>768</v>
      </c>
      <c r="AG91" s="13">
        <v>751</v>
      </c>
      <c r="AH91" s="13">
        <v>833</v>
      </c>
      <c r="AI91" s="13">
        <v>840</v>
      </c>
      <c r="AJ91" s="13">
        <v>903</v>
      </c>
      <c r="AK91" s="13">
        <f>1161-16</f>
        <v>1145</v>
      </c>
      <c r="AL91" s="13">
        <f>(212+939)-(51+71)</f>
        <v>1029</v>
      </c>
      <c r="AM91" s="13">
        <f>1279-41</f>
        <v>1238</v>
      </c>
      <c r="AN91" s="19">
        <f>1509-23-35</f>
        <v>1451</v>
      </c>
      <c r="AO91" s="19">
        <f>1318-17-23</f>
        <v>1278</v>
      </c>
      <c r="AP91" s="19">
        <v>1452</v>
      </c>
      <c r="AQ91" s="19">
        <f>1659-19-9</f>
        <v>1631</v>
      </c>
      <c r="AR91" s="13">
        <v>1813</v>
      </c>
      <c r="AS91" s="13">
        <f>2173-74-113</f>
        <v>1986</v>
      </c>
      <c r="AT91" s="13">
        <v>2191</v>
      </c>
      <c r="AU91" s="13">
        <v>2577</v>
      </c>
      <c r="AV91" s="106">
        <v>54</v>
      </c>
    </row>
    <row r="92" spans="1:48" ht="12.75" customHeight="1">
      <c r="A92" s="3" t="s">
        <v>30</v>
      </c>
      <c r="B92" s="82">
        <v>0.10231764656930055</v>
      </c>
      <c r="C92" s="10">
        <v>0.09314646078226797</v>
      </c>
      <c r="D92" s="10">
        <v>0.099989602467681</v>
      </c>
      <c r="E92" s="59">
        <v>0.10332221865272347</v>
      </c>
      <c r="F92" s="10">
        <v>0.11121497407135385</v>
      </c>
      <c r="G92" s="10">
        <v>0.12138574425712734</v>
      </c>
      <c r="H92" s="10">
        <f t="shared" si="13"/>
        <v>0.12299881731906424</v>
      </c>
      <c r="I92" s="48">
        <f t="shared" si="17"/>
        <v>0.14003343401531126</v>
      </c>
      <c r="J92" s="48">
        <f t="shared" si="17"/>
        <v>0.13865155452799194</v>
      </c>
      <c r="K92" s="48">
        <f t="shared" si="16"/>
        <v>0.13729482547126515</v>
      </c>
      <c r="L92" s="48">
        <v>0.1383341411519219</v>
      </c>
      <c r="M92" s="97">
        <f aca="true" t="shared" si="18" ref="M92:AU92">SUM(M66:M91)</f>
        <v>2459</v>
      </c>
      <c r="N92" s="11">
        <f t="shared" si="18"/>
        <v>8035</v>
      </c>
      <c r="O92" s="11">
        <f t="shared" si="18"/>
        <v>8655</v>
      </c>
      <c r="P92" s="66">
        <f t="shared" si="18"/>
        <v>9327</v>
      </c>
      <c r="Q92" s="11">
        <f t="shared" si="18"/>
        <v>9994</v>
      </c>
      <c r="R92" s="11">
        <f t="shared" si="18"/>
        <v>11398</v>
      </c>
      <c r="S92" s="11">
        <f t="shared" si="18"/>
        <v>12792</v>
      </c>
      <c r="T92" s="11">
        <f t="shared" si="18"/>
        <v>14743</v>
      </c>
      <c r="U92" s="11">
        <f t="shared" si="18"/>
        <v>15952</v>
      </c>
      <c r="V92" s="11">
        <f t="shared" si="18"/>
        <v>16453</v>
      </c>
      <c r="W92" s="11">
        <f t="shared" si="18"/>
        <v>24033</v>
      </c>
      <c r="X92" s="11">
        <f t="shared" si="18"/>
        <v>53778</v>
      </c>
      <c r="Y92" s="11">
        <f t="shared" si="18"/>
        <v>22443</v>
      </c>
      <c r="Z92" s="11">
        <f t="shared" si="18"/>
        <v>54501</v>
      </c>
      <c r="AA92" s="11">
        <f t="shared" si="18"/>
        <v>17544</v>
      </c>
      <c r="AB92" s="11">
        <f t="shared" si="18"/>
        <v>62135</v>
      </c>
      <c r="AC92" s="11">
        <f t="shared" si="18"/>
        <v>62089</v>
      </c>
      <c r="AD92" s="11">
        <f t="shared" si="18"/>
        <v>65249</v>
      </c>
      <c r="AE92" s="11">
        <f t="shared" si="18"/>
        <v>71218</v>
      </c>
      <c r="AF92" s="11">
        <f t="shared" si="18"/>
        <v>74990</v>
      </c>
      <c r="AG92" s="11">
        <f t="shared" si="18"/>
        <v>76716</v>
      </c>
      <c r="AH92" s="11">
        <f t="shared" si="18"/>
        <v>79901</v>
      </c>
      <c r="AI92" s="11">
        <f t="shared" si="18"/>
        <v>78802</v>
      </c>
      <c r="AJ92" s="11">
        <f t="shared" si="18"/>
        <v>77673</v>
      </c>
      <c r="AK92" s="11">
        <f t="shared" si="18"/>
        <v>76843</v>
      </c>
      <c r="AL92" s="11">
        <f t="shared" si="18"/>
        <v>80950</v>
      </c>
      <c r="AM92" s="11">
        <f t="shared" si="18"/>
        <v>86262</v>
      </c>
      <c r="AN92" s="11">
        <f t="shared" si="18"/>
        <v>86559</v>
      </c>
      <c r="AO92" s="11">
        <f t="shared" si="18"/>
        <v>90271</v>
      </c>
      <c r="AP92" s="11">
        <f t="shared" si="18"/>
        <v>89862</v>
      </c>
      <c r="AQ92" s="11">
        <f t="shared" si="18"/>
        <v>93899</v>
      </c>
      <c r="AR92" s="11">
        <f t="shared" si="18"/>
        <v>104001</v>
      </c>
      <c r="AS92" s="11">
        <f t="shared" si="18"/>
        <v>105282</v>
      </c>
      <c r="AT92" s="11">
        <f t="shared" si="18"/>
        <v>115051</v>
      </c>
      <c r="AU92" s="11">
        <f t="shared" si="18"/>
        <v>119837</v>
      </c>
      <c r="AV92" s="11">
        <f>SUM(AV66:AV91)</f>
        <v>16839</v>
      </c>
    </row>
    <row r="93" spans="2:23" ht="12.75" customHeight="1">
      <c r="B93" s="82"/>
      <c r="C93" s="10"/>
      <c r="D93" s="10"/>
      <c r="E93" s="59"/>
      <c r="F93" s="10"/>
      <c r="G93" s="10"/>
      <c r="H93" s="10"/>
      <c r="I93" s="48"/>
      <c r="J93" s="48"/>
      <c r="K93" s="48"/>
      <c r="L93" s="48"/>
      <c r="M93" s="97"/>
      <c r="N93" s="21"/>
      <c r="O93" s="21"/>
      <c r="P93" s="65"/>
      <c r="Q93" s="21"/>
      <c r="R93" s="21"/>
      <c r="S93" s="21"/>
      <c r="T93" s="21"/>
      <c r="U93" s="21"/>
      <c r="V93" s="21"/>
      <c r="W93" s="20"/>
    </row>
    <row r="94" spans="1:23" ht="56.25" customHeight="1">
      <c r="A94" s="12" t="s">
        <v>80</v>
      </c>
      <c r="B94" s="82"/>
      <c r="C94" s="10"/>
      <c r="D94" s="10"/>
      <c r="E94" s="59"/>
      <c r="F94" s="10"/>
      <c r="G94" s="10"/>
      <c r="H94" s="10"/>
      <c r="I94" s="48"/>
      <c r="J94" s="48"/>
      <c r="K94" s="48"/>
      <c r="L94" s="48"/>
      <c r="M94" s="97"/>
      <c r="N94" s="21"/>
      <c r="O94" s="21"/>
      <c r="P94" s="65"/>
      <c r="Q94" s="21"/>
      <c r="R94" s="21"/>
      <c r="S94" s="21"/>
      <c r="T94" s="21"/>
      <c r="U94" s="21"/>
      <c r="V94" s="21"/>
      <c r="W94" s="20"/>
    </row>
    <row r="95" spans="1:23" ht="12.75" customHeight="1">
      <c r="A95" s="2"/>
      <c r="B95" s="82"/>
      <c r="C95" s="10"/>
      <c r="D95" s="10"/>
      <c r="E95" s="59"/>
      <c r="F95" s="10"/>
      <c r="G95" s="10"/>
      <c r="H95" s="10"/>
      <c r="I95" s="48"/>
      <c r="J95" s="48"/>
      <c r="K95" s="48"/>
      <c r="L95" s="48"/>
      <c r="M95" s="97"/>
      <c r="N95" s="21"/>
      <c r="O95" s="21"/>
      <c r="P95" s="65"/>
      <c r="Q95" s="21"/>
      <c r="R95" s="21"/>
      <c r="S95" s="21"/>
      <c r="T95" s="21"/>
      <c r="U95" s="21"/>
      <c r="V95" s="21"/>
      <c r="W95" s="20"/>
    </row>
    <row r="96" spans="1:48" ht="12.75" customHeight="1">
      <c r="A96" s="3" t="s">
        <v>81</v>
      </c>
      <c r="B96" s="82">
        <v>0.006172839506172839</v>
      </c>
      <c r="C96" s="10">
        <v>0.014760147601476014</v>
      </c>
      <c r="D96" s="10">
        <v>0.01838235294117647</v>
      </c>
      <c r="E96" s="59">
        <v>0.025089605734767026</v>
      </c>
      <c r="F96" s="10">
        <v>0.03536977491961415</v>
      </c>
      <c r="G96" s="10">
        <v>0.015337423312883436</v>
      </c>
      <c r="H96" s="10">
        <f>+S96/AR96</f>
        <v>0.013114754098360656</v>
      </c>
      <c r="I96" s="48">
        <f aca="true" t="shared" si="19" ref="I96:I106">+T96/AS96</f>
        <v>0.014084507042253521</v>
      </c>
      <c r="J96" s="48">
        <f>+U96/AT96</f>
        <v>0.025925925925925925</v>
      </c>
      <c r="K96" s="48">
        <f aca="true" t="shared" si="20" ref="K96:K102">+V96/AU96</f>
        <v>0.028662420382165606</v>
      </c>
      <c r="L96" s="48">
        <v>0.02830188679245283</v>
      </c>
      <c r="M96" s="97">
        <v>2</v>
      </c>
      <c r="N96" s="21">
        <v>4</v>
      </c>
      <c r="O96" s="21">
        <v>5</v>
      </c>
      <c r="P96" s="65">
        <v>7</v>
      </c>
      <c r="Q96" s="21">
        <v>11</v>
      </c>
      <c r="R96" s="21">
        <v>5</v>
      </c>
      <c r="S96" s="21">
        <v>4</v>
      </c>
      <c r="T96" s="21">
        <v>4</v>
      </c>
      <c r="U96" s="21">
        <v>7</v>
      </c>
      <c r="V96" s="21">
        <v>9</v>
      </c>
      <c r="W96" s="20">
        <v>324</v>
      </c>
      <c r="X96" s="13">
        <v>363</v>
      </c>
      <c r="Y96" s="3" t="s">
        <v>37</v>
      </c>
      <c r="Z96" s="13">
        <v>348</v>
      </c>
      <c r="AA96" s="3" t="s">
        <v>37</v>
      </c>
      <c r="AB96" s="13">
        <v>348</v>
      </c>
      <c r="AC96" s="36" t="s">
        <v>36</v>
      </c>
      <c r="AD96" s="13">
        <v>350</v>
      </c>
      <c r="AE96" s="36" t="s">
        <v>36</v>
      </c>
      <c r="AF96" s="13">
        <v>348</v>
      </c>
      <c r="AG96" s="13">
        <v>360</v>
      </c>
      <c r="AH96" s="13">
        <v>413</v>
      </c>
      <c r="AI96" s="13">
        <v>370</v>
      </c>
      <c r="AJ96" s="13">
        <v>354</v>
      </c>
      <c r="AK96" s="13">
        <v>320</v>
      </c>
      <c r="AL96" s="13">
        <v>294</v>
      </c>
      <c r="AM96" s="13">
        <f>305-34</f>
        <v>271</v>
      </c>
      <c r="AN96" s="19">
        <v>272</v>
      </c>
      <c r="AO96" s="19">
        <v>279</v>
      </c>
      <c r="AP96" s="19">
        <v>311</v>
      </c>
      <c r="AQ96" s="19">
        <v>326</v>
      </c>
      <c r="AR96" s="13">
        <v>305</v>
      </c>
      <c r="AS96" s="13">
        <v>284</v>
      </c>
      <c r="AT96" s="13">
        <v>270</v>
      </c>
      <c r="AU96" s="13">
        <v>314</v>
      </c>
      <c r="AV96" s="13">
        <v>9</v>
      </c>
    </row>
    <row r="97" spans="1:48" ht="12.75" customHeight="1" hidden="1">
      <c r="A97" s="3" t="s">
        <v>82</v>
      </c>
      <c r="B97" s="82">
        <v>0.12295081967213115</v>
      </c>
      <c r="C97" s="38" t="s">
        <v>36</v>
      </c>
      <c r="D97" s="10">
        <v>0.4199134199134199</v>
      </c>
      <c r="E97" s="59">
        <v>0.43349753694581283</v>
      </c>
      <c r="F97" s="38" t="s">
        <v>37</v>
      </c>
      <c r="G97" s="38" t="s">
        <v>37</v>
      </c>
      <c r="H97" s="38" t="s">
        <v>37</v>
      </c>
      <c r="I97" s="46" t="s">
        <v>37</v>
      </c>
      <c r="J97" s="76" t="s">
        <v>37</v>
      </c>
      <c r="K97" s="76" t="s">
        <v>37</v>
      </c>
      <c r="L97" s="76"/>
      <c r="M97" s="97">
        <v>15</v>
      </c>
      <c r="N97" s="35" t="s">
        <v>36</v>
      </c>
      <c r="O97" s="35">
        <v>97</v>
      </c>
      <c r="P97" s="67">
        <v>88</v>
      </c>
      <c r="Q97" s="35" t="s">
        <v>37</v>
      </c>
      <c r="R97" s="35" t="s">
        <v>37</v>
      </c>
      <c r="S97" s="35" t="s">
        <v>37</v>
      </c>
      <c r="T97" s="35" t="s">
        <v>37</v>
      </c>
      <c r="U97" s="35" t="s">
        <v>37</v>
      </c>
      <c r="V97" s="35" t="s">
        <v>37</v>
      </c>
      <c r="W97" s="35" t="s">
        <v>37</v>
      </c>
      <c r="X97" s="35" t="s">
        <v>37</v>
      </c>
      <c r="Y97" s="35" t="s">
        <v>37</v>
      </c>
      <c r="Z97" s="35" t="s">
        <v>37</v>
      </c>
      <c r="AA97" s="35" t="s">
        <v>37</v>
      </c>
      <c r="AB97" s="35" t="s">
        <v>37</v>
      </c>
      <c r="AC97" s="35" t="s">
        <v>37</v>
      </c>
      <c r="AD97" s="35" t="s">
        <v>37</v>
      </c>
      <c r="AE97" s="35" t="s">
        <v>37</v>
      </c>
      <c r="AF97" s="35" t="s">
        <v>37</v>
      </c>
      <c r="AG97" s="35" t="s">
        <v>37</v>
      </c>
      <c r="AH97" s="35" t="s">
        <v>37</v>
      </c>
      <c r="AI97" s="35" t="s">
        <v>37</v>
      </c>
      <c r="AJ97" s="35" t="s">
        <v>37</v>
      </c>
      <c r="AK97" s="35" t="s">
        <v>37</v>
      </c>
      <c r="AL97" s="35" t="s">
        <v>37</v>
      </c>
      <c r="AM97" s="35" t="s">
        <v>37</v>
      </c>
      <c r="AN97" s="35" t="s">
        <v>37</v>
      </c>
      <c r="AO97" s="35" t="s">
        <v>37</v>
      </c>
      <c r="AP97" s="35" t="s">
        <v>37</v>
      </c>
      <c r="AQ97" s="35" t="s">
        <v>37</v>
      </c>
      <c r="AR97" s="35" t="s">
        <v>37</v>
      </c>
      <c r="AS97" s="35" t="s">
        <v>37</v>
      </c>
      <c r="AT97" s="35" t="s">
        <v>37</v>
      </c>
      <c r="AU97" s="35" t="s">
        <v>37</v>
      </c>
      <c r="AV97" s="35"/>
    </row>
    <row r="98" spans="1:48" ht="12.75" customHeight="1" hidden="1">
      <c r="A98" s="3" t="s">
        <v>83</v>
      </c>
      <c r="B98" s="83" t="s">
        <v>37</v>
      </c>
      <c r="C98" s="38" t="s">
        <v>37</v>
      </c>
      <c r="D98" s="38" t="s">
        <v>37</v>
      </c>
      <c r="E98" s="60" t="s">
        <v>37</v>
      </c>
      <c r="F98" s="38" t="s">
        <v>37</v>
      </c>
      <c r="G98" s="38" t="s">
        <v>37</v>
      </c>
      <c r="H98" s="38" t="s">
        <v>37</v>
      </c>
      <c r="I98" s="46" t="s">
        <v>37</v>
      </c>
      <c r="J98" s="76" t="s">
        <v>37</v>
      </c>
      <c r="K98" s="48" t="e">
        <f t="shared" si="20"/>
        <v>#VALUE!</v>
      </c>
      <c r="L98" s="48"/>
      <c r="M98" s="98" t="s">
        <v>37</v>
      </c>
      <c r="N98" s="35" t="s">
        <v>37</v>
      </c>
      <c r="O98" s="35" t="s">
        <v>37</v>
      </c>
      <c r="P98" s="67" t="s">
        <v>37</v>
      </c>
      <c r="Q98" s="35" t="s">
        <v>37</v>
      </c>
      <c r="R98" s="35" t="s">
        <v>37</v>
      </c>
      <c r="S98" s="35" t="s">
        <v>37</v>
      </c>
      <c r="T98" s="35" t="s">
        <v>37</v>
      </c>
      <c r="U98" s="35" t="s">
        <v>37</v>
      </c>
      <c r="V98" s="35" t="s">
        <v>37</v>
      </c>
      <c r="W98" s="35" t="s">
        <v>37</v>
      </c>
      <c r="X98" s="35" t="s">
        <v>37</v>
      </c>
      <c r="Y98" s="35" t="s">
        <v>37</v>
      </c>
      <c r="Z98" s="35" t="s">
        <v>37</v>
      </c>
      <c r="AA98" s="35" t="s">
        <v>37</v>
      </c>
      <c r="AB98" s="35" t="s">
        <v>37</v>
      </c>
      <c r="AC98" s="35" t="s">
        <v>37</v>
      </c>
      <c r="AD98" s="35" t="s">
        <v>37</v>
      </c>
      <c r="AE98" s="35" t="s">
        <v>37</v>
      </c>
      <c r="AF98" s="35" t="s">
        <v>37</v>
      </c>
      <c r="AG98" s="35" t="s">
        <v>37</v>
      </c>
      <c r="AH98" s="35" t="s">
        <v>37</v>
      </c>
      <c r="AI98" s="35" t="s">
        <v>37</v>
      </c>
      <c r="AJ98" s="35" t="s">
        <v>37</v>
      </c>
      <c r="AK98" s="35" t="s">
        <v>37</v>
      </c>
      <c r="AL98" s="35" t="s">
        <v>37</v>
      </c>
      <c r="AM98" s="35" t="s">
        <v>37</v>
      </c>
      <c r="AN98" s="35" t="s">
        <v>37</v>
      </c>
      <c r="AO98" s="35" t="s">
        <v>37</v>
      </c>
      <c r="AP98" s="35" t="s">
        <v>37</v>
      </c>
      <c r="AQ98" s="35" t="s">
        <v>37</v>
      </c>
      <c r="AR98" s="35" t="s">
        <v>37</v>
      </c>
      <c r="AS98" s="35" t="s">
        <v>37</v>
      </c>
      <c r="AT98" s="35" t="s">
        <v>37</v>
      </c>
      <c r="AU98" s="35" t="s">
        <v>37</v>
      </c>
      <c r="AV98" s="35"/>
    </row>
    <row r="99" spans="1:48" ht="12.75" customHeight="1" hidden="1">
      <c r="A99" s="3" t="s">
        <v>84</v>
      </c>
      <c r="B99" s="83" t="s">
        <v>56</v>
      </c>
      <c r="C99" s="38" t="s">
        <v>37</v>
      </c>
      <c r="D99" s="38" t="s">
        <v>37</v>
      </c>
      <c r="E99" s="60" t="s">
        <v>37</v>
      </c>
      <c r="F99" s="38" t="s">
        <v>37</v>
      </c>
      <c r="G99" s="38" t="s">
        <v>37</v>
      </c>
      <c r="H99" s="38" t="s">
        <v>37</v>
      </c>
      <c r="I99" s="46" t="s">
        <v>37</v>
      </c>
      <c r="J99" s="76" t="s">
        <v>37</v>
      </c>
      <c r="K99" s="48" t="e">
        <f t="shared" si="20"/>
        <v>#VALUE!</v>
      </c>
      <c r="L99" s="48"/>
      <c r="M99" s="98" t="s">
        <v>56</v>
      </c>
      <c r="N99" s="35" t="s">
        <v>37</v>
      </c>
      <c r="O99" s="35" t="s">
        <v>37</v>
      </c>
      <c r="P99" s="67" t="s">
        <v>37</v>
      </c>
      <c r="Q99" s="35" t="s">
        <v>37</v>
      </c>
      <c r="R99" s="35" t="s">
        <v>37</v>
      </c>
      <c r="S99" s="35" t="s">
        <v>37</v>
      </c>
      <c r="T99" s="35" t="s">
        <v>37</v>
      </c>
      <c r="U99" s="35" t="s">
        <v>37</v>
      </c>
      <c r="V99" s="35" t="s">
        <v>37</v>
      </c>
      <c r="W99" s="35" t="s">
        <v>37</v>
      </c>
      <c r="X99" s="35" t="s">
        <v>37</v>
      </c>
      <c r="Y99" s="35" t="s">
        <v>37</v>
      </c>
      <c r="Z99" s="35" t="s">
        <v>37</v>
      </c>
      <c r="AA99" s="35" t="s">
        <v>37</v>
      </c>
      <c r="AB99" s="35" t="s">
        <v>37</v>
      </c>
      <c r="AC99" s="35" t="s">
        <v>37</v>
      </c>
      <c r="AD99" s="35" t="s">
        <v>37</v>
      </c>
      <c r="AE99" s="35" t="s">
        <v>37</v>
      </c>
      <c r="AF99" s="35" t="s">
        <v>37</v>
      </c>
      <c r="AG99" s="35" t="s">
        <v>37</v>
      </c>
      <c r="AH99" s="35" t="s">
        <v>37</v>
      </c>
      <c r="AI99" s="35" t="s">
        <v>37</v>
      </c>
      <c r="AJ99" s="35" t="s">
        <v>37</v>
      </c>
      <c r="AK99" s="35" t="s">
        <v>37</v>
      </c>
      <c r="AL99" s="35" t="s">
        <v>37</v>
      </c>
      <c r="AM99" s="35" t="s">
        <v>37</v>
      </c>
      <c r="AN99" s="35" t="s">
        <v>37</v>
      </c>
      <c r="AO99" s="35" t="s">
        <v>37</v>
      </c>
      <c r="AP99" s="35" t="s">
        <v>37</v>
      </c>
      <c r="AQ99" s="35" t="s">
        <v>37</v>
      </c>
      <c r="AR99" s="35" t="s">
        <v>37</v>
      </c>
      <c r="AS99" s="35" t="s">
        <v>37</v>
      </c>
      <c r="AT99" s="35" t="s">
        <v>37</v>
      </c>
      <c r="AU99" s="35" t="s">
        <v>37</v>
      </c>
      <c r="AV99" s="35"/>
    </row>
    <row r="100" spans="1:48" ht="12.75" customHeight="1" hidden="1">
      <c r="A100" s="3" t="s">
        <v>85</v>
      </c>
      <c r="B100" s="82">
        <v>0.051094890510948905</v>
      </c>
      <c r="C100" s="38" t="s">
        <v>37</v>
      </c>
      <c r="D100" s="38" t="s">
        <v>37</v>
      </c>
      <c r="E100" s="60" t="s">
        <v>37</v>
      </c>
      <c r="F100" s="38" t="s">
        <v>37</v>
      </c>
      <c r="G100" s="38" t="s">
        <v>37</v>
      </c>
      <c r="H100" s="38" t="s">
        <v>37</v>
      </c>
      <c r="I100" s="46" t="s">
        <v>37</v>
      </c>
      <c r="J100" s="76" t="s">
        <v>37</v>
      </c>
      <c r="K100" s="76" t="s">
        <v>37</v>
      </c>
      <c r="L100" s="76"/>
      <c r="M100" s="97">
        <v>7</v>
      </c>
      <c r="N100" s="35" t="s">
        <v>37</v>
      </c>
      <c r="O100" s="35" t="s">
        <v>37</v>
      </c>
      <c r="P100" s="67" t="s">
        <v>37</v>
      </c>
      <c r="Q100" s="35" t="s">
        <v>37</v>
      </c>
      <c r="R100" s="35" t="s">
        <v>37</v>
      </c>
      <c r="S100" s="35" t="s">
        <v>37</v>
      </c>
      <c r="T100" s="35" t="s">
        <v>37</v>
      </c>
      <c r="U100" s="35" t="s">
        <v>37</v>
      </c>
      <c r="V100" s="35" t="s">
        <v>37</v>
      </c>
      <c r="W100" s="35" t="s">
        <v>37</v>
      </c>
      <c r="X100" s="35" t="s">
        <v>37</v>
      </c>
      <c r="Y100" s="35" t="s">
        <v>37</v>
      </c>
      <c r="Z100" s="35" t="s">
        <v>37</v>
      </c>
      <c r="AA100" s="35" t="s">
        <v>37</v>
      </c>
      <c r="AB100" s="35" t="s">
        <v>37</v>
      </c>
      <c r="AC100" s="35" t="s">
        <v>37</v>
      </c>
      <c r="AD100" s="35" t="s">
        <v>37</v>
      </c>
      <c r="AE100" s="35" t="s">
        <v>37</v>
      </c>
      <c r="AF100" s="35" t="s">
        <v>37</v>
      </c>
      <c r="AG100" s="35" t="s">
        <v>37</v>
      </c>
      <c r="AH100" s="35" t="s">
        <v>37</v>
      </c>
      <c r="AI100" s="35" t="s">
        <v>37</v>
      </c>
      <c r="AJ100" s="35" t="s">
        <v>37</v>
      </c>
      <c r="AK100" s="35" t="s">
        <v>37</v>
      </c>
      <c r="AL100" s="35" t="s">
        <v>37</v>
      </c>
      <c r="AM100" s="35" t="s">
        <v>37</v>
      </c>
      <c r="AN100" s="35" t="s">
        <v>37</v>
      </c>
      <c r="AO100" s="35" t="s">
        <v>37</v>
      </c>
      <c r="AP100" s="35" t="s">
        <v>37</v>
      </c>
      <c r="AQ100" s="35" t="s">
        <v>37</v>
      </c>
      <c r="AR100" s="35" t="s">
        <v>37</v>
      </c>
      <c r="AS100" s="35" t="s">
        <v>37</v>
      </c>
      <c r="AT100" s="35" t="s">
        <v>37</v>
      </c>
      <c r="AU100" s="35" t="s">
        <v>37</v>
      </c>
      <c r="AV100" s="35"/>
    </row>
    <row r="101" spans="1:48" ht="12.75" customHeight="1">
      <c r="A101" s="2" t="s">
        <v>86</v>
      </c>
      <c r="B101" s="83" t="s">
        <v>56</v>
      </c>
      <c r="C101" s="10">
        <v>0.044585987261146494</v>
      </c>
      <c r="D101" s="10">
        <v>0.056338028169014086</v>
      </c>
      <c r="E101" s="59">
        <v>0.08092485549132948</v>
      </c>
      <c r="F101" s="10">
        <v>0.0821917808219178</v>
      </c>
      <c r="G101" s="10">
        <v>0.038461538461538464</v>
      </c>
      <c r="H101" s="10">
        <f>+S101/AR101</f>
        <v>0.04794520547945205</v>
      </c>
      <c r="I101" s="48">
        <f t="shared" si="19"/>
        <v>0.026622296173044926</v>
      </c>
      <c r="J101" s="48">
        <f>+U101/AT101</f>
        <v>0.0106951871657754</v>
      </c>
      <c r="K101" s="48">
        <f t="shared" si="20"/>
        <v>0.03571428571428571</v>
      </c>
      <c r="L101" s="48">
        <v>0.044850498338870434</v>
      </c>
      <c r="M101" s="98" t="s">
        <v>56</v>
      </c>
      <c r="N101" s="21">
        <v>14</v>
      </c>
      <c r="O101" s="21">
        <v>20</v>
      </c>
      <c r="P101" s="65">
        <v>28</v>
      </c>
      <c r="Q101" s="21">
        <v>24</v>
      </c>
      <c r="R101" s="21">
        <f>7+5</f>
        <v>12</v>
      </c>
      <c r="S101" s="21">
        <v>14</v>
      </c>
      <c r="T101" s="21">
        <v>16</v>
      </c>
      <c r="U101" s="21">
        <v>6</v>
      </c>
      <c r="V101" s="21">
        <v>23</v>
      </c>
      <c r="W101" s="33" t="s">
        <v>37</v>
      </c>
      <c r="X101" s="13">
        <v>265</v>
      </c>
      <c r="Y101" s="13">
        <v>232</v>
      </c>
      <c r="Z101" s="13">
        <v>236</v>
      </c>
      <c r="AA101" s="3" t="s">
        <v>37</v>
      </c>
      <c r="AB101" s="13">
        <v>291</v>
      </c>
      <c r="AC101" s="13">
        <v>314</v>
      </c>
      <c r="AD101" s="13">
        <v>366</v>
      </c>
      <c r="AE101" s="13">
        <v>314</v>
      </c>
      <c r="AF101" s="13">
        <v>331</v>
      </c>
      <c r="AG101" s="13">
        <v>320</v>
      </c>
      <c r="AI101" s="13">
        <v>177</v>
      </c>
      <c r="AJ101" s="13">
        <v>765</v>
      </c>
      <c r="AK101" s="13">
        <f>201+463</f>
        <v>664</v>
      </c>
      <c r="AL101" s="13">
        <f>269-2</f>
        <v>267</v>
      </c>
      <c r="AM101" s="13">
        <f>125+189</f>
        <v>314</v>
      </c>
      <c r="AN101" s="19">
        <f>150+205</f>
        <v>355</v>
      </c>
      <c r="AO101" s="19">
        <f>161+185</f>
        <v>346</v>
      </c>
      <c r="AP101" s="19">
        <v>292</v>
      </c>
      <c r="AQ101" s="19">
        <f>312-0</f>
        <v>312</v>
      </c>
      <c r="AR101" s="13">
        <v>292</v>
      </c>
      <c r="AS101" s="13">
        <v>601</v>
      </c>
      <c r="AT101" s="13">
        <v>561</v>
      </c>
      <c r="AU101" s="13">
        <v>644</v>
      </c>
      <c r="AV101" s="13">
        <v>27</v>
      </c>
    </row>
    <row r="102" spans="1:48" ht="12.75" customHeight="1">
      <c r="A102" s="3" t="s">
        <v>30</v>
      </c>
      <c r="B102" s="82">
        <v>0.0411663807890223</v>
      </c>
      <c r="C102" s="10">
        <v>0.03076923076923077</v>
      </c>
      <c r="D102" s="10">
        <v>0.14219114219114218</v>
      </c>
      <c r="E102" s="59">
        <v>0.14855072463768115</v>
      </c>
      <c r="F102" s="10">
        <v>0.05804311774461028</v>
      </c>
      <c r="G102" s="10">
        <v>0.02664576802507837</v>
      </c>
      <c r="H102" s="10">
        <f>+S102/AR102</f>
        <v>0.03015075376884422</v>
      </c>
      <c r="I102" s="48">
        <f t="shared" si="19"/>
        <v>0.022598870056497175</v>
      </c>
      <c r="J102" s="48">
        <f>+U102/AT102</f>
        <v>0.015643802647412757</v>
      </c>
      <c r="K102" s="48">
        <f t="shared" si="20"/>
        <v>0.033402922755741124</v>
      </c>
      <c r="L102" s="48">
        <v>0.0391304347826087</v>
      </c>
      <c r="M102" s="97">
        <f aca="true" t="shared" si="21" ref="M102:AV102">SUM(M96:M101)</f>
        <v>24</v>
      </c>
      <c r="N102" s="21">
        <f t="shared" si="21"/>
        <v>18</v>
      </c>
      <c r="O102" s="21">
        <f t="shared" si="21"/>
        <v>122</v>
      </c>
      <c r="P102" s="65">
        <f t="shared" si="21"/>
        <v>123</v>
      </c>
      <c r="Q102" s="21">
        <f t="shared" si="21"/>
        <v>35</v>
      </c>
      <c r="R102" s="21">
        <f t="shared" si="21"/>
        <v>17</v>
      </c>
      <c r="S102" s="21">
        <f t="shared" si="21"/>
        <v>18</v>
      </c>
      <c r="T102" s="21">
        <f t="shared" si="21"/>
        <v>20</v>
      </c>
      <c r="U102" s="21">
        <f t="shared" si="21"/>
        <v>13</v>
      </c>
      <c r="V102" s="21">
        <f t="shared" si="21"/>
        <v>32</v>
      </c>
      <c r="W102" s="21">
        <f t="shared" si="21"/>
        <v>324</v>
      </c>
      <c r="X102" s="21">
        <f t="shared" si="21"/>
        <v>628</v>
      </c>
      <c r="Y102" s="21">
        <f t="shared" si="21"/>
        <v>232</v>
      </c>
      <c r="Z102" s="21">
        <f t="shared" si="21"/>
        <v>584</v>
      </c>
      <c r="AA102" s="21">
        <f t="shared" si="21"/>
        <v>0</v>
      </c>
      <c r="AB102" s="21">
        <f t="shared" si="21"/>
        <v>639</v>
      </c>
      <c r="AC102" s="21">
        <f t="shared" si="21"/>
        <v>314</v>
      </c>
      <c r="AD102" s="21">
        <f t="shared" si="21"/>
        <v>716</v>
      </c>
      <c r="AE102" s="21">
        <f t="shared" si="21"/>
        <v>314</v>
      </c>
      <c r="AF102" s="21">
        <f t="shared" si="21"/>
        <v>679</v>
      </c>
      <c r="AG102" s="21">
        <f t="shared" si="21"/>
        <v>680</v>
      </c>
      <c r="AH102" s="21">
        <f t="shared" si="21"/>
        <v>413</v>
      </c>
      <c r="AI102" s="21">
        <f t="shared" si="21"/>
        <v>547</v>
      </c>
      <c r="AJ102" s="21">
        <f t="shared" si="21"/>
        <v>1119</v>
      </c>
      <c r="AK102" s="21">
        <f t="shared" si="21"/>
        <v>984</v>
      </c>
      <c r="AL102" s="21">
        <f t="shared" si="21"/>
        <v>561</v>
      </c>
      <c r="AM102" s="21">
        <f t="shared" si="21"/>
        <v>585</v>
      </c>
      <c r="AN102" s="21">
        <f t="shared" si="21"/>
        <v>627</v>
      </c>
      <c r="AO102" s="21">
        <f t="shared" si="21"/>
        <v>625</v>
      </c>
      <c r="AP102" s="21">
        <f t="shared" si="21"/>
        <v>603</v>
      </c>
      <c r="AQ102" s="21">
        <f t="shared" si="21"/>
        <v>638</v>
      </c>
      <c r="AR102" s="21">
        <f t="shared" si="21"/>
        <v>597</v>
      </c>
      <c r="AS102" s="21">
        <f t="shared" si="21"/>
        <v>885</v>
      </c>
      <c r="AT102" s="21">
        <f t="shared" si="21"/>
        <v>831</v>
      </c>
      <c r="AU102" s="21">
        <f t="shared" si="21"/>
        <v>958</v>
      </c>
      <c r="AV102" s="21">
        <f t="shared" si="21"/>
        <v>36</v>
      </c>
    </row>
    <row r="103" spans="2:46" ht="12.75" customHeight="1">
      <c r="B103" s="82"/>
      <c r="C103" s="10"/>
      <c r="D103" s="10"/>
      <c r="E103" s="59"/>
      <c r="F103" s="10"/>
      <c r="G103" s="10"/>
      <c r="H103" s="10"/>
      <c r="I103" s="48"/>
      <c r="J103" s="48"/>
      <c r="K103" s="48"/>
      <c r="L103" s="48"/>
      <c r="M103" s="97"/>
      <c r="N103" s="21"/>
      <c r="O103" s="21"/>
      <c r="P103" s="65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8" ht="19.5" customHeight="1">
      <c r="A104" s="37" t="s">
        <v>87</v>
      </c>
      <c r="B104" s="82">
        <v>0.10086935326616835</v>
      </c>
      <c r="C104" s="10">
        <v>0.0927262887606941</v>
      </c>
      <c r="D104" s="10">
        <v>0.10040381161558964</v>
      </c>
      <c r="E104" s="59">
        <v>0.10373330113393121</v>
      </c>
      <c r="F104" s="10">
        <v>0.11086055380533909</v>
      </c>
      <c r="G104" s="10">
        <v>0.12074637443540624</v>
      </c>
      <c r="H104" s="10">
        <f>+S104/AR104</f>
        <v>0.1224688808581426</v>
      </c>
      <c r="I104" s="48">
        <f t="shared" si="19"/>
        <v>0.13905450846308176</v>
      </c>
      <c r="J104" s="48">
        <f>+U104/AT104</f>
        <v>0.13776945513539635</v>
      </c>
      <c r="K104" s="48">
        <f>+V104/AU104</f>
        <v>0.13647088041723582</v>
      </c>
      <c r="L104" s="48">
        <v>0.13758999404795877</v>
      </c>
      <c r="M104" s="97">
        <f aca="true" t="shared" si="22" ref="M104:R104">SUM(M92+M102)</f>
        <v>2483</v>
      </c>
      <c r="N104" s="11">
        <f t="shared" si="22"/>
        <v>8053</v>
      </c>
      <c r="O104" s="11">
        <f t="shared" si="22"/>
        <v>8777</v>
      </c>
      <c r="P104" s="66">
        <f t="shared" si="22"/>
        <v>9450</v>
      </c>
      <c r="Q104" s="11">
        <f t="shared" si="22"/>
        <v>10029</v>
      </c>
      <c r="R104" s="11">
        <f t="shared" si="22"/>
        <v>11415</v>
      </c>
      <c r="S104" s="11">
        <f>SUM(S92+S102)</f>
        <v>12810</v>
      </c>
      <c r="T104" s="11">
        <f>SUM(T92+T102)</f>
        <v>14763</v>
      </c>
      <c r="U104" s="11">
        <f>SUM(U92+U102)</f>
        <v>15965</v>
      </c>
      <c r="V104" s="11">
        <f aca="true" t="shared" si="23" ref="V104:AV104">SUM(V92+V102)</f>
        <v>16485</v>
      </c>
      <c r="W104" s="11">
        <f t="shared" si="23"/>
        <v>24357</v>
      </c>
      <c r="X104" s="11">
        <f t="shared" si="23"/>
        <v>54406</v>
      </c>
      <c r="Y104" s="11">
        <f t="shared" si="23"/>
        <v>22675</v>
      </c>
      <c r="Z104" s="11">
        <f t="shared" si="23"/>
        <v>55085</v>
      </c>
      <c r="AA104" s="11">
        <f t="shared" si="23"/>
        <v>17544</v>
      </c>
      <c r="AB104" s="11">
        <f t="shared" si="23"/>
        <v>62774</v>
      </c>
      <c r="AC104" s="11">
        <f t="shared" si="23"/>
        <v>62403</v>
      </c>
      <c r="AD104" s="11">
        <f t="shared" si="23"/>
        <v>65965</v>
      </c>
      <c r="AE104" s="11">
        <f t="shared" si="23"/>
        <v>71532</v>
      </c>
      <c r="AF104" s="11">
        <f t="shared" si="23"/>
        <v>75669</v>
      </c>
      <c r="AG104" s="11">
        <f t="shared" si="23"/>
        <v>77396</v>
      </c>
      <c r="AH104" s="11">
        <f t="shared" si="23"/>
        <v>80314</v>
      </c>
      <c r="AI104" s="11">
        <f t="shared" si="23"/>
        <v>79349</v>
      </c>
      <c r="AJ104" s="11">
        <f t="shared" si="23"/>
        <v>78792</v>
      </c>
      <c r="AK104" s="11">
        <f t="shared" si="23"/>
        <v>77827</v>
      </c>
      <c r="AL104" s="11">
        <f t="shared" si="23"/>
        <v>81511</v>
      </c>
      <c r="AM104" s="11">
        <f t="shared" si="23"/>
        <v>86847</v>
      </c>
      <c r="AN104" s="11">
        <f t="shared" si="23"/>
        <v>87186</v>
      </c>
      <c r="AO104" s="11">
        <f t="shared" si="23"/>
        <v>90896</v>
      </c>
      <c r="AP104" s="11">
        <f t="shared" si="23"/>
        <v>90465</v>
      </c>
      <c r="AQ104" s="11">
        <f t="shared" si="23"/>
        <v>94537</v>
      </c>
      <c r="AR104" s="11">
        <f t="shared" si="23"/>
        <v>104598</v>
      </c>
      <c r="AS104" s="11">
        <f t="shared" si="23"/>
        <v>106167</v>
      </c>
      <c r="AT104" s="11">
        <f t="shared" si="23"/>
        <v>115882</v>
      </c>
      <c r="AU104" s="11">
        <f t="shared" si="23"/>
        <v>120795</v>
      </c>
      <c r="AV104" s="11">
        <f t="shared" si="23"/>
        <v>16875</v>
      </c>
    </row>
    <row r="105" spans="2:48" ht="12.75" customHeight="1">
      <c r="B105" s="82"/>
      <c r="C105" s="10"/>
      <c r="D105" s="10"/>
      <c r="E105" s="59"/>
      <c r="F105" s="10"/>
      <c r="G105" s="10"/>
      <c r="H105" s="10"/>
      <c r="I105" s="48"/>
      <c r="J105" s="48"/>
      <c r="K105" s="48"/>
      <c r="L105" s="48"/>
      <c r="M105" s="97"/>
      <c r="N105" s="21"/>
      <c r="O105" s="21"/>
      <c r="P105" s="6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</row>
    <row r="106" spans="1:48" ht="12.75" customHeight="1" thickBot="1">
      <c r="A106" s="9" t="s">
        <v>88</v>
      </c>
      <c r="B106" s="90">
        <v>0.09314968641326632</v>
      </c>
      <c r="C106" s="10">
        <v>0.08988524662425249</v>
      </c>
      <c r="D106" s="10">
        <v>0.09460125188362119</v>
      </c>
      <c r="E106" s="70">
        <v>0.09497731294125891</v>
      </c>
      <c r="F106" s="10">
        <v>0.09967038086597707</v>
      </c>
      <c r="G106" s="10">
        <v>0.10270569684777142</v>
      </c>
      <c r="H106" s="10">
        <f>+S106/AR106</f>
        <v>0.10369991881055901</v>
      </c>
      <c r="I106" s="88">
        <f t="shared" si="19"/>
        <v>0.114897507490027</v>
      </c>
      <c r="J106" s="48">
        <f>+U106/AT106</f>
        <v>0.10926241439522096</v>
      </c>
      <c r="K106" s="41">
        <f>+V106/AU106</f>
        <v>0.11148036878502408</v>
      </c>
      <c r="L106" s="88">
        <v>0.112669367557648</v>
      </c>
      <c r="M106" s="103">
        <f aca="true" t="shared" si="24" ref="M106:S106">M104+M51</f>
        <v>18402</v>
      </c>
      <c r="N106" s="11">
        <f t="shared" si="24"/>
        <v>24470</v>
      </c>
      <c r="O106" s="11">
        <f t="shared" si="24"/>
        <v>26116</v>
      </c>
      <c r="P106" s="72">
        <f t="shared" si="24"/>
        <v>27107</v>
      </c>
      <c r="Q106" s="11">
        <f t="shared" si="24"/>
        <v>28454</v>
      </c>
      <c r="R106" s="11">
        <f t="shared" si="24"/>
        <v>30223</v>
      </c>
      <c r="S106" s="11">
        <f t="shared" si="24"/>
        <v>33081</v>
      </c>
      <c r="T106" s="11">
        <f>T104+T51</f>
        <v>34937</v>
      </c>
      <c r="U106" s="11">
        <f>U104+U51</f>
        <v>36105</v>
      </c>
      <c r="V106" s="11">
        <f aca="true" t="shared" si="25" ref="V106:AV106">V104+V51</f>
        <v>37738</v>
      </c>
      <c r="W106" s="11">
        <f t="shared" si="25"/>
        <v>196897</v>
      </c>
      <c r="X106" s="11">
        <f t="shared" si="25"/>
        <v>227962</v>
      </c>
      <c r="Y106" s="11">
        <f t="shared" si="25"/>
        <v>199390</v>
      </c>
      <c r="Z106" s="11">
        <f t="shared" si="25"/>
        <v>224847</v>
      </c>
      <c r="AA106" s="11">
        <f t="shared" si="25"/>
        <v>184782</v>
      </c>
      <c r="AB106" s="11">
        <f t="shared" si="25"/>
        <v>231717</v>
      </c>
      <c r="AC106" s="11">
        <f t="shared" si="25"/>
        <v>235761</v>
      </c>
      <c r="AD106" s="11">
        <f t="shared" si="25"/>
        <v>247499</v>
      </c>
      <c r="AE106" s="11">
        <f t="shared" si="25"/>
        <v>263850</v>
      </c>
      <c r="AF106" s="11">
        <f t="shared" si="25"/>
        <v>275786</v>
      </c>
      <c r="AG106" s="11">
        <f t="shared" si="25"/>
        <v>281740</v>
      </c>
      <c r="AH106" s="11">
        <f t="shared" si="25"/>
        <v>282959</v>
      </c>
      <c r="AI106" s="11">
        <f t="shared" si="25"/>
        <v>276283</v>
      </c>
      <c r="AJ106" s="11">
        <f t="shared" si="25"/>
        <v>265187</v>
      </c>
      <c r="AK106" s="11">
        <f t="shared" si="25"/>
        <v>261475</v>
      </c>
      <c r="AL106" s="11">
        <f t="shared" si="25"/>
        <v>265516</v>
      </c>
      <c r="AM106" s="11">
        <f t="shared" si="25"/>
        <v>272236</v>
      </c>
      <c r="AN106" s="11">
        <f t="shared" si="25"/>
        <v>275833</v>
      </c>
      <c r="AO106" s="11">
        <f t="shared" si="25"/>
        <v>285202</v>
      </c>
      <c r="AP106" s="11">
        <f t="shared" si="25"/>
        <v>285481</v>
      </c>
      <c r="AQ106" s="11">
        <f t="shared" si="25"/>
        <v>294268</v>
      </c>
      <c r="AR106" s="11">
        <f t="shared" si="25"/>
        <v>319007</v>
      </c>
      <c r="AS106" s="11">
        <f t="shared" si="25"/>
        <v>304071</v>
      </c>
      <c r="AT106" s="11">
        <f t="shared" si="25"/>
        <v>330443</v>
      </c>
      <c r="AU106" s="11">
        <f t="shared" si="25"/>
        <v>338517</v>
      </c>
      <c r="AV106" s="42">
        <f t="shared" si="25"/>
        <v>38434</v>
      </c>
    </row>
    <row r="107" spans="1:22" ht="12.75" customHeight="1" thickTop="1">
      <c r="A107" s="4" t="s">
        <v>89</v>
      </c>
      <c r="B107" s="18"/>
      <c r="C107" s="16"/>
      <c r="D107" s="16"/>
      <c r="E107" s="16"/>
      <c r="F107" s="16"/>
      <c r="G107" s="16"/>
      <c r="H107" s="16"/>
      <c r="I107" s="50"/>
      <c r="J107" s="50"/>
      <c r="K107" s="49"/>
      <c r="L107" s="50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12" ht="12.75" customHeight="1">
      <c r="A108" s="3" t="s">
        <v>50</v>
      </c>
      <c r="C108" s="14"/>
      <c r="D108" s="14"/>
      <c r="E108" s="14"/>
      <c r="F108" s="14"/>
      <c r="G108" s="14"/>
      <c r="H108" s="14"/>
      <c r="I108" s="49"/>
      <c r="J108" s="49"/>
      <c r="K108" s="49"/>
      <c r="L108" s="49"/>
    </row>
    <row r="109" spans="1:12" ht="12.75" customHeight="1">
      <c r="A109" s="2" t="s">
        <v>51</v>
      </c>
      <c r="C109" s="14"/>
      <c r="D109" s="14"/>
      <c r="E109" s="14"/>
      <c r="F109" s="14"/>
      <c r="G109" s="14"/>
      <c r="H109" s="14"/>
      <c r="I109" s="49"/>
      <c r="J109" s="49"/>
      <c r="K109" s="49"/>
      <c r="L109" s="49"/>
    </row>
    <row r="110" spans="1:12" ht="12.75" customHeight="1">
      <c r="A110" s="3" t="s">
        <v>52</v>
      </c>
      <c r="C110" s="14"/>
      <c r="D110" s="14"/>
      <c r="E110" s="14"/>
      <c r="F110" s="14"/>
      <c r="G110" s="14"/>
      <c r="H110" s="14"/>
      <c r="I110" s="49"/>
      <c r="J110" s="49"/>
      <c r="K110" s="49"/>
      <c r="L110" s="49"/>
    </row>
    <row r="111" spans="1:12" ht="12.75" customHeight="1">
      <c r="A111" s="1"/>
      <c r="C111" s="14"/>
      <c r="D111" s="14"/>
      <c r="E111" s="14"/>
      <c r="F111" s="14"/>
      <c r="G111" s="14"/>
      <c r="H111" s="14"/>
      <c r="I111" s="49"/>
      <c r="J111" s="49"/>
      <c r="K111" s="49"/>
      <c r="L111" s="49"/>
    </row>
    <row r="112" spans="3:12" ht="12.75" customHeight="1">
      <c r="C112" s="14"/>
      <c r="D112" s="14"/>
      <c r="E112" s="14"/>
      <c r="F112" s="14"/>
      <c r="G112" s="14"/>
      <c r="H112" s="14"/>
      <c r="I112" s="49"/>
      <c r="J112" s="49"/>
      <c r="K112" s="49"/>
      <c r="L112" s="49"/>
    </row>
    <row r="113" spans="3:12" ht="12.75" customHeight="1">
      <c r="C113" s="14"/>
      <c r="D113" s="14"/>
      <c r="E113" s="14"/>
      <c r="F113" s="14"/>
      <c r="G113" s="14"/>
      <c r="H113" s="14"/>
      <c r="I113" s="49"/>
      <c r="J113" s="49"/>
      <c r="K113" s="49"/>
      <c r="L113" s="49"/>
    </row>
    <row r="114" spans="3:12" ht="12.75" customHeight="1">
      <c r="C114" s="14"/>
      <c r="D114" s="14"/>
      <c r="E114" s="14"/>
      <c r="F114" s="14"/>
      <c r="G114" s="14"/>
      <c r="H114" s="14"/>
      <c r="I114" s="49"/>
      <c r="J114" s="49"/>
      <c r="K114" s="49"/>
      <c r="L114" s="49"/>
    </row>
    <row r="115" spans="3:12" ht="12.75" customHeight="1">
      <c r="C115" s="14"/>
      <c r="D115" s="14"/>
      <c r="E115" s="14"/>
      <c r="F115" s="14"/>
      <c r="G115" s="14"/>
      <c r="H115" s="14"/>
      <c r="I115" s="49"/>
      <c r="J115" s="49"/>
      <c r="K115" s="49"/>
      <c r="L115" s="49"/>
    </row>
    <row r="116" spans="3:12" ht="12.75" customHeight="1">
      <c r="C116" s="14"/>
      <c r="D116" s="14"/>
      <c r="E116" s="14"/>
      <c r="F116" s="14"/>
      <c r="G116" s="14"/>
      <c r="H116" s="14"/>
      <c r="I116" s="49"/>
      <c r="J116" s="49"/>
      <c r="K116" s="49"/>
      <c r="L116" s="49"/>
    </row>
    <row r="117" spans="3:12" ht="12.75" customHeight="1">
      <c r="C117" s="14"/>
      <c r="D117" s="14"/>
      <c r="E117" s="14"/>
      <c r="F117" s="14"/>
      <c r="G117" s="14"/>
      <c r="H117" s="14"/>
      <c r="I117" s="49"/>
      <c r="J117" s="49"/>
      <c r="K117" s="49"/>
      <c r="L117" s="49"/>
    </row>
    <row r="118" spans="3:12" ht="12.75" customHeight="1">
      <c r="C118" s="14"/>
      <c r="D118" s="14"/>
      <c r="E118" s="14"/>
      <c r="F118" s="14"/>
      <c r="G118" s="14"/>
      <c r="H118" s="14"/>
      <c r="I118" s="49"/>
      <c r="J118" s="49"/>
      <c r="K118" s="49"/>
      <c r="L118" s="49"/>
    </row>
    <row r="119" spans="3:12" ht="12.75" customHeight="1">
      <c r="C119" s="14"/>
      <c r="D119" s="14"/>
      <c r="E119" s="14"/>
      <c r="F119" s="14"/>
      <c r="G119" s="14"/>
      <c r="H119" s="14"/>
      <c r="I119" s="49"/>
      <c r="J119" s="49"/>
      <c r="K119" s="49"/>
      <c r="L119" s="49"/>
    </row>
    <row r="120" spans="3:12" ht="12.75" customHeight="1">
      <c r="C120" s="14"/>
      <c r="D120" s="14"/>
      <c r="E120" s="14"/>
      <c r="F120" s="14"/>
      <c r="G120" s="14"/>
      <c r="H120" s="14"/>
      <c r="I120" s="49"/>
      <c r="J120" s="49"/>
      <c r="K120" s="49"/>
      <c r="L120" s="49"/>
    </row>
    <row r="121" spans="3:12" ht="12.75" customHeight="1">
      <c r="C121" s="14"/>
      <c r="D121" s="14"/>
      <c r="E121" s="14"/>
      <c r="F121" s="14"/>
      <c r="G121" s="14"/>
      <c r="H121" s="14"/>
      <c r="I121" s="49"/>
      <c r="J121" s="49"/>
      <c r="K121" s="49"/>
      <c r="L121" s="49"/>
    </row>
    <row r="122" spans="3:12" ht="12.75" customHeight="1">
      <c r="C122" s="14"/>
      <c r="D122" s="14"/>
      <c r="E122" s="14"/>
      <c r="F122" s="14"/>
      <c r="G122" s="14"/>
      <c r="H122" s="14"/>
      <c r="I122" s="49"/>
      <c r="J122" s="49"/>
      <c r="K122" s="49"/>
      <c r="L122" s="49"/>
    </row>
    <row r="123" spans="3:12" ht="12.75" customHeight="1">
      <c r="C123" s="14"/>
      <c r="D123" s="14"/>
      <c r="E123" s="14"/>
      <c r="F123" s="14"/>
      <c r="G123" s="14"/>
      <c r="H123" s="14"/>
      <c r="I123" s="49"/>
      <c r="J123" s="49"/>
      <c r="K123" s="49"/>
      <c r="L123" s="49"/>
    </row>
    <row r="124" spans="3:12" ht="12.75" customHeight="1">
      <c r="C124" s="14"/>
      <c r="D124" s="14"/>
      <c r="E124" s="14"/>
      <c r="F124" s="14"/>
      <c r="G124" s="14"/>
      <c r="H124" s="14"/>
      <c r="I124" s="49"/>
      <c r="J124" s="49"/>
      <c r="K124" s="49"/>
      <c r="L124" s="49"/>
    </row>
    <row r="125" spans="3:12" ht="12.75" customHeight="1">
      <c r="C125" s="14"/>
      <c r="D125" s="14"/>
      <c r="E125" s="14"/>
      <c r="F125" s="14"/>
      <c r="G125" s="14"/>
      <c r="H125" s="14"/>
      <c r="I125" s="49"/>
      <c r="J125" s="49"/>
      <c r="K125" s="49"/>
      <c r="L125" s="49"/>
    </row>
    <row r="126" spans="3:12" ht="12.75" customHeight="1">
      <c r="C126" s="14"/>
      <c r="D126" s="14"/>
      <c r="E126" s="14"/>
      <c r="F126" s="14"/>
      <c r="G126" s="14"/>
      <c r="H126" s="14"/>
      <c r="I126" s="49"/>
      <c r="J126" s="49"/>
      <c r="K126" s="49"/>
      <c r="L126" s="49"/>
    </row>
    <row r="127" spans="3:12" ht="12.75" customHeight="1">
      <c r="C127" s="14"/>
      <c r="D127" s="14"/>
      <c r="E127" s="14"/>
      <c r="F127" s="14"/>
      <c r="G127" s="14"/>
      <c r="H127" s="14"/>
      <c r="I127" s="49"/>
      <c r="J127" s="49"/>
      <c r="K127" s="49"/>
      <c r="L127" s="49"/>
    </row>
    <row r="128" spans="3:12" ht="12.75" customHeight="1">
      <c r="C128" s="14"/>
      <c r="D128" s="14"/>
      <c r="E128" s="14"/>
      <c r="F128" s="14"/>
      <c r="G128" s="14"/>
      <c r="H128" s="14"/>
      <c r="I128" s="49"/>
      <c r="J128" s="49"/>
      <c r="K128" s="49"/>
      <c r="L128" s="49"/>
    </row>
    <row r="129" spans="3:12" ht="12.75" customHeight="1">
      <c r="C129" s="14"/>
      <c r="D129" s="14"/>
      <c r="E129" s="14"/>
      <c r="F129" s="14"/>
      <c r="G129" s="14"/>
      <c r="H129" s="14"/>
      <c r="I129" s="49"/>
      <c r="J129" s="49"/>
      <c r="K129" s="49"/>
      <c r="L129" s="49"/>
    </row>
    <row r="130" spans="3:12" ht="12.75" customHeight="1">
      <c r="C130" s="14"/>
      <c r="D130" s="14"/>
      <c r="E130" s="14"/>
      <c r="F130" s="14"/>
      <c r="G130" s="14"/>
      <c r="H130" s="14"/>
      <c r="I130" s="49"/>
      <c r="J130" s="49"/>
      <c r="K130" s="49"/>
      <c r="L130" s="49"/>
    </row>
    <row r="131" spans="3:12" ht="12.75" customHeight="1">
      <c r="C131" s="14"/>
      <c r="D131" s="14"/>
      <c r="E131" s="14"/>
      <c r="F131" s="14"/>
      <c r="G131" s="14"/>
      <c r="H131" s="14"/>
      <c r="I131" s="49"/>
      <c r="J131" s="49"/>
      <c r="K131" s="49"/>
      <c r="L131" s="49"/>
    </row>
    <row r="132" spans="3:12" ht="12.75" customHeight="1">
      <c r="C132" s="14"/>
      <c r="D132" s="14"/>
      <c r="E132" s="14"/>
      <c r="F132" s="14"/>
      <c r="G132" s="14"/>
      <c r="H132" s="14"/>
      <c r="I132" s="49"/>
      <c r="J132" s="49"/>
      <c r="K132" s="49"/>
      <c r="L132" s="49"/>
    </row>
    <row r="133" spans="3:12" ht="12.75" customHeight="1">
      <c r="C133" s="14"/>
      <c r="D133" s="14"/>
      <c r="E133" s="14"/>
      <c r="F133" s="14"/>
      <c r="G133" s="14"/>
      <c r="H133" s="14"/>
      <c r="I133" s="49"/>
      <c r="J133" s="49"/>
      <c r="K133" s="49"/>
      <c r="L133" s="49"/>
    </row>
    <row r="134" spans="3:12" ht="12.75" customHeight="1">
      <c r="C134" s="14"/>
      <c r="D134" s="14"/>
      <c r="E134" s="14"/>
      <c r="F134" s="14"/>
      <c r="G134" s="14"/>
      <c r="H134" s="14"/>
      <c r="I134" s="49"/>
      <c r="J134" s="49"/>
      <c r="K134" s="49"/>
      <c r="L134" s="49"/>
    </row>
    <row r="135" spans="3:12" ht="12.75" customHeight="1">
      <c r="C135" s="14"/>
      <c r="D135" s="14"/>
      <c r="E135" s="14"/>
      <c r="F135" s="14"/>
      <c r="G135" s="14"/>
      <c r="H135" s="14"/>
      <c r="I135" s="49"/>
      <c r="J135" s="49"/>
      <c r="K135" s="49"/>
      <c r="L135" s="49"/>
    </row>
    <row r="136" spans="3:12" ht="12.75" customHeight="1">
      <c r="C136" s="14"/>
      <c r="D136" s="14"/>
      <c r="E136" s="14"/>
      <c r="F136" s="14"/>
      <c r="G136" s="14"/>
      <c r="H136" s="14"/>
      <c r="I136" s="49"/>
      <c r="J136" s="49"/>
      <c r="K136" s="49"/>
      <c r="L136" s="49"/>
    </row>
    <row r="137" spans="3:12" ht="12.75" customHeight="1">
      <c r="C137" s="14"/>
      <c r="D137" s="14"/>
      <c r="E137" s="14"/>
      <c r="F137" s="14"/>
      <c r="G137" s="14"/>
      <c r="H137" s="14"/>
      <c r="I137" s="49"/>
      <c r="J137" s="49"/>
      <c r="K137" s="49"/>
      <c r="L137" s="49"/>
    </row>
    <row r="138" spans="3:12" ht="12.75" customHeight="1">
      <c r="C138" s="14"/>
      <c r="D138" s="14"/>
      <c r="E138" s="14"/>
      <c r="F138" s="14"/>
      <c r="G138" s="14"/>
      <c r="H138" s="14"/>
      <c r="I138" s="49"/>
      <c r="J138" s="49"/>
      <c r="K138" s="49"/>
      <c r="L138" s="49"/>
    </row>
    <row r="139" spans="3:12" ht="12.75" customHeight="1">
      <c r="C139" s="14"/>
      <c r="D139" s="14"/>
      <c r="E139" s="14"/>
      <c r="F139" s="14"/>
      <c r="G139" s="14"/>
      <c r="H139" s="14"/>
      <c r="I139" s="49"/>
      <c r="J139" s="49"/>
      <c r="K139" s="49"/>
      <c r="L139" s="49"/>
    </row>
    <row r="140" spans="3:12" ht="12.75" customHeight="1">
      <c r="C140" s="14"/>
      <c r="D140" s="14"/>
      <c r="E140" s="14"/>
      <c r="F140" s="14"/>
      <c r="G140" s="14"/>
      <c r="H140" s="14"/>
      <c r="I140" s="49"/>
      <c r="J140" s="49"/>
      <c r="K140" s="49"/>
      <c r="L140" s="49"/>
    </row>
    <row r="141" spans="3:12" ht="12.75" customHeight="1">
      <c r="C141" s="14"/>
      <c r="D141" s="14"/>
      <c r="E141" s="14"/>
      <c r="F141" s="14"/>
      <c r="G141" s="14"/>
      <c r="H141" s="14"/>
      <c r="I141" s="49"/>
      <c r="J141" s="49"/>
      <c r="K141" s="49"/>
      <c r="L141" s="49"/>
    </row>
    <row r="142" spans="3:12" ht="12.75" customHeight="1">
      <c r="C142" s="14"/>
      <c r="D142" s="14"/>
      <c r="E142" s="14"/>
      <c r="F142" s="14"/>
      <c r="G142" s="14"/>
      <c r="H142" s="14"/>
      <c r="I142" s="49"/>
      <c r="J142" s="49"/>
      <c r="K142" s="49"/>
      <c r="L142" s="49"/>
    </row>
    <row r="143" spans="3:12" ht="12.75" customHeight="1">
      <c r="C143" s="14"/>
      <c r="D143" s="14"/>
      <c r="E143" s="14"/>
      <c r="F143" s="14"/>
      <c r="G143" s="14"/>
      <c r="H143" s="14"/>
      <c r="I143" s="49"/>
      <c r="J143" s="49"/>
      <c r="K143" s="49"/>
      <c r="L143" s="49"/>
    </row>
    <row r="144" spans="3:12" ht="12.75" customHeight="1">
      <c r="C144" s="14"/>
      <c r="D144" s="14"/>
      <c r="E144" s="14"/>
      <c r="F144" s="14"/>
      <c r="G144" s="14"/>
      <c r="H144" s="14"/>
      <c r="I144" s="49"/>
      <c r="J144" s="49"/>
      <c r="K144" s="49"/>
      <c r="L144" s="49"/>
    </row>
    <row r="145" spans="3:12" ht="12.75" customHeight="1">
      <c r="C145" s="14"/>
      <c r="D145" s="14"/>
      <c r="E145" s="14"/>
      <c r="F145" s="14"/>
      <c r="G145" s="14"/>
      <c r="H145" s="14"/>
      <c r="I145" s="49"/>
      <c r="J145" s="49"/>
      <c r="K145" s="49"/>
      <c r="L145" s="49"/>
    </row>
    <row r="146" spans="3:12" ht="12.75" customHeight="1">
      <c r="C146" s="14"/>
      <c r="D146" s="14"/>
      <c r="E146" s="14"/>
      <c r="F146" s="14"/>
      <c r="G146" s="14"/>
      <c r="H146" s="14"/>
      <c r="I146" s="49"/>
      <c r="J146" s="49"/>
      <c r="K146" s="49"/>
      <c r="L146" s="49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printOptions/>
  <pageMargins left="1.1" right="0.5" top="1" bottom="0.3" header="0.5" footer="0.5"/>
  <pageSetup horizontalDpi="600" verticalDpi="600" orientation="portrait" scale="8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2007-11-20T18:50:27Z</cp:lastPrinted>
  <dcterms:created xsi:type="dcterms:W3CDTF">2003-06-19T20:34:16Z</dcterms:created>
  <dcterms:modified xsi:type="dcterms:W3CDTF">2007-12-06T20:36:52Z</dcterms:modified>
  <cp:category/>
  <cp:version/>
  <cp:contentType/>
  <cp:contentStatus/>
</cp:coreProperties>
</file>